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fpstx-my.sharepoint.com/personal/michelle_michael_dfps_texas_gov/Documents/Desktop/mm-desktop/2022-10-04-rider-37-data/"/>
    </mc:Choice>
  </mc:AlternateContent>
  <xr:revisionPtr revIDLastSave="35" documentId="13_ncr:1_{6CCAFAEC-D8EF-4538-8CAC-3DF697A12265}" xr6:coauthVersionLast="45" xr6:coauthVersionMax="46" xr10:uidLastSave="{45599643-D70F-4195-B371-556701EC705B}"/>
  <bookViews>
    <workbookView xWindow="-120" yWindow="-120" windowWidth="24240" windowHeight="13140" xr2:uid="{BB5D1927-4B22-4EF7-A2F0-E48BEE84EDA5}"/>
  </bookViews>
  <sheets>
    <sheet name="Table of Contents" sheetId="4" r:id="rId1"/>
    <sheet name="Summary" sheetId="3" r:id="rId2"/>
    <sheet name="Legacy Data" sheetId="1" r:id="rId3"/>
    <sheet name="CBC Data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I16" i="2" s="1"/>
  <c r="K4" i="2" l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H3" i="1"/>
  <c r="H4" i="1" s="1"/>
  <c r="H5" i="1" s="1"/>
  <c r="H6" i="1" s="1"/>
  <c r="H7" i="1" s="1"/>
  <c r="H8" i="1" s="1"/>
  <c r="H9" i="1" s="1"/>
  <c r="H10" i="1" s="1"/>
  <c r="H11" i="1" s="1"/>
  <c r="H12" i="1" s="1"/>
  <c r="H13" i="1" s="1"/>
  <c r="Q16" i="1"/>
  <c r="P16" i="1"/>
  <c r="O16" i="1"/>
  <c r="N16" i="1"/>
  <c r="M16" i="1"/>
  <c r="L16" i="1"/>
  <c r="K16" i="1"/>
  <c r="J16" i="1"/>
  <c r="I16" i="1"/>
  <c r="S18" i="2"/>
  <c r="R18" i="2"/>
  <c r="Q18" i="2"/>
  <c r="P18" i="2"/>
  <c r="O18" i="2"/>
  <c r="N18" i="2"/>
  <c r="M18" i="2"/>
  <c r="L18" i="2"/>
  <c r="H3" i="2" l="1"/>
  <c r="I3" i="2" s="1"/>
  <c r="H4" i="2"/>
  <c r="I4" i="2" s="1"/>
  <c r="H5" i="2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I5" i="2"/>
  <c r="I4" i="3"/>
  <c r="C12" i="1"/>
  <c r="H3" i="3" s="1"/>
  <c r="D12" i="1"/>
  <c r="I3" i="3" s="1"/>
  <c r="E12" i="1"/>
  <c r="J3" i="3" s="1"/>
  <c r="F12" i="1"/>
  <c r="B12" i="1"/>
  <c r="G3" i="3" s="1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K3" i="3" l="1"/>
  <c r="I5" i="3"/>
  <c r="H2" i="2"/>
  <c r="I2" i="2" s="1"/>
  <c r="F29" i="2" s="1"/>
  <c r="G29" i="2" l="1"/>
  <c r="F19" i="2"/>
  <c r="F25" i="2"/>
  <c r="E28" i="2"/>
  <c r="F32" i="2"/>
  <c r="G25" i="2"/>
  <c r="E22" i="2"/>
  <c r="F28" i="2"/>
  <c r="E25" i="2"/>
  <c r="F27" i="2"/>
  <c r="D20" i="2"/>
  <c r="E19" i="2"/>
  <c r="G34" i="2"/>
  <c r="D28" i="2"/>
  <c r="E21" i="2"/>
  <c r="D31" i="2"/>
  <c r="G27" i="2"/>
  <c r="E24" i="2"/>
  <c r="E30" i="2"/>
  <c r="G32" i="2"/>
  <c r="E27" i="2"/>
  <c r="D26" i="2"/>
  <c r="F31" i="2"/>
  <c r="G24" i="2"/>
  <c r="E32" i="2"/>
  <c r="G30" i="2"/>
  <c r="G19" i="2"/>
  <c r="G31" i="2"/>
  <c r="F23" i="2"/>
  <c r="G20" i="2"/>
  <c r="E33" i="2"/>
  <c r="D19" i="2"/>
  <c r="G33" i="2"/>
  <c r="E29" i="2"/>
  <c r="F22" i="2"/>
  <c r="D30" i="2"/>
  <c r="F26" i="2"/>
  <c r="D34" i="2"/>
  <c r="D23" i="2"/>
  <c r="D27" i="2"/>
  <c r="F33" i="2"/>
  <c r="D24" i="2"/>
  <c r="E20" i="2"/>
  <c r="F21" i="2"/>
  <c r="E23" i="2"/>
  <c r="G26" i="2"/>
  <c r="F30" i="2"/>
  <c r="D25" i="2"/>
  <c r="E26" i="2"/>
  <c r="G23" i="2"/>
  <c r="E31" i="2"/>
  <c r="G28" i="2"/>
  <c r="D21" i="2"/>
  <c r="G21" i="2"/>
  <c r="D22" i="2"/>
  <c r="G22" i="2"/>
  <c r="E34" i="2"/>
  <c r="F34" i="2"/>
  <c r="F20" i="2"/>
  <c r="D29" i="2"/>
  <c r="F24" i="2"/>
  <c r="D32" i="2"/>
  <c r="D33" i="2"/>
  <c r="D19" i="3"/>
  <c r="D18" i="3"/>
  <c r="D17" i="3"/>
  <c r="D16" i="3"/>
  <c r="D15" i="3"/>
  <c r="D14" i="3"/>
  <c r="D13" i="3"/>
  <c r="D37" i="2" l="1"/>
  <c r="D20" i="3"/>
  <c r="D21" i="3" s="1"/>
  <c r="F37" i="2" l="1"/>
  <c r="J4" i="3" s="1"/>
  <c r="J5" i="3" s="1"/>
  <c r="G4" i="3"/>
  <c r="G5" i="3" s="1"/>
  <c r="G37" i="2"/>
  <c r="E37" i="2"/>
  <c r="H4" i="3" s="1"/>
  <c r="H5" i="3" s="1"/>
  <c r="K4" i="3" l="1"/>
  <c r="K5" i="3"/>
  <c r="D10" i="3" l="1"/>
  <c r="D8" i="3" l="1"/>
  <c r="D9" i="3"/>
  <c r="D7" i="3"/>
  <c r="D6" i="3"/>
  <c r="D5" i="3"/>
  <c r="D4" i="3"/>
  <c r="D11" i="3"/>
  <c r="D3" i="3"/>
  <c r="D12" i="3" l="1"/>
  <c r="D22" i="3" s="1"/>
</calcChain>
</file>

<file path=xl/sharedStrings.xml><?xml version="1.0" encoding="utf-8"?>
<sst xmlns="http://schemas.openxmlformats.org/spreadsheetml/2006/main" count="251" uniqueCount="52">
  <si>
    <t>Level of Care</t>
  </si>
  <si>
    <t>Entitlements</t>
  </si>
  <si>
    <t>GR</t>
  </si>
  <si>
    <t>Other</t>
  </si>
  <si>
    <t>TANF</t>
  </si>
  <si>
    <t>Grand Total</t>
  </si>
  <si>
    <t>Basic</t>
  </si>
  <si>
    <t>Moderate</t>
  </si>
  <si>
    <t>Specialized</t>
  </si>
  <si>
    <t>Intensive</t>
  </si>
  <si>
    <t>Intensive Plus</t>
  </si>
  <si>
    <t>Psychiatric</t>
  </si>
  <si>
    <t>Emergency Shelters</t>
  </si>
  <si>
    <t>TEP</t>
  </si>
  <si>
    <t>Child Specific Contracts</t>
  </si>
  <si>
    <t>Catchment Area</t>
  </si>
  <si>
    <t>1</t>
  </si>
  <si>
    <t>Blended</t>
  </si>
  <si>
    <t>Exceptional</t>
  </si>
  <si>
    <t>2</t>
  </si>
  <si>
    <t>3B</t>
  </si>
  <si>
    <t>8A</t>
  </si>
  <si>
    <t>Date</t>
  </si>
  <si>
    <t>Emergency Shelter</t>
  </si>
  <si>
    <t>IPTP</t>
  </si>
  <si>
    <t>Child Specific</t>
  </si>
  <si>
    <t>IV-E</t>
  </si>
  <si>
    <t>Non IV-E</t>
  </si>
  <si>
    <t>PAC</t>
  </si>
  <si>
    <t>26300</t>
  </si>
  <si>
    <t>26400</t>
  </si>
  <si>
    <t>Fiscal Year</t>
  </si>
  <si>
    <t>System</t>
  </si>
  <si>
    <t>Catchment</t>
  </si>
  <si>
    <t>Legacy</t>
  </si>
  <si>
    <t>Statewide</t>
  </si>
  <si>
    <t>Child FTEs</t>
  </si>
  <si>
    <t>Legacy Subtotal</t>
  </si>
  <si>
    <t>CBC Subtotal</t>
  </si>
  <si>
    <t>Alias</t>
  </si>
  <si>
    <t>Total</t>
  </si>
  <si>
    <t>CBC*</t>
  </si>
  <si>
    <t>8B</t>
  </si>
  <si>
    <t>Note: Data compiled from IMPACT as of 7/9/2022.
*CBC Blended and Exceptional Care days are not reported by Placement Type (e.g., CPA, RTC). Thus CBC values represent days paid with a Living Arrangment of Basic Child Care, Emergency Shelter, Residential Treatment Center, or IPTP.</t>
  </si>
  <si>
    <t>Note: Data compiled from CAPPS as of 7/9/2022
*CBC Blended and Exceptional Care expenses are not reported by Placement Type (e.g., CPA, RTC). Thus CBC values represent the total expenses by catchment and rate (i.e., Blended &amp; Exceptional) multiplied by the proportion of relevant days paid with a Living Arrangment of Basic Child Care, Emergency Shelter, Residential Treatment Center, or IPTP.</t>
  </si>
  <si>
    <t>FY 2022 Q3 Congregate Care Expenses by MOF</t>
  </si>
  <si>
    <t>FY 2022 Q3 Congregate Care Child FTEs</t>
  </si>
  <si>
    <t>Table of Contents</t>
  </si>
  <si>
    <t>Summary</t>
  </si>
  <si>
    <t>Legacy Data</t>
  </si>
  <si>
    <t>CBC Data</t>
  </si>
  <si>
    <t>end of table of 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</si>
</sst>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0.0%"/>
    <numFmt numFmtId="167" formatCode="_(* #,##0_);_(* \(#,##0\);_(* &quot;-&quot;??_);_(@_)"/>
  </numFmts>
  <fonts count="12">
    <font>
      <sz val="12"/>
      <color theme="1"/>
      <name val="Verdana"/>
      <family val="2"/>
    </font>
    <font>
      <sz val="12"/>
      <color theme="1"/>
      <name val="Verdana"/>
      <family val="2"/>
    </font>
    <font>
      <sz val="10"/>
      <color theme="0"/>
      <name val="SAS Monospace"/>
      <family val="3"/>
    </font>
    <font>
      <sz val="10"/>
      <color theme="1"/>
      <name val="SAS Monospace"/>
      <family val="3"/>
    </font>
    <font>
      <b/>
      <sz val="10"/>
      <color theme="0"/>
      <name val="SAS Monospace"/>
      <family val="3"/>
    </font>
    <font>
      <sz val="10"/>
      <color theme="4" tint="-0.499984740745262"/>
      <name val="SAS Monospace"/>
      <family val="3"/>
    </font>
    <font>
      <u/>
      <sz val="10"/>
      <color theme="0"/>
      <name val="SAS Monospace"/>
      <family val="3"/>
    </font>
    <font>
      <b/>
      <sz val="10"/>
      <color theme="1"/>
      <name val="SAS Monospace"/>
      <family val="3"/>
    </font>
    <font>
      <sz val="10"/>
      <name val="SAS Monospace"/>
      <family val="3"/>
    </font>
    <font>
      <sz val="12"/>
      <color theme="0"/>
      <name val="Verdana"/>
      <family val="2"/>
    </font>
    <font>
      <u/>
      <sz val="12"/>
      <color theme="10"/>
      <name val="Verdana"/>
      <family val="2"/>
    </font>
    <font>
      <b/>
      <sz val="18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5" fontId="2" fillId="2" borderId="4" xfId="0" applyNumberFormat="1" applyFont="1" applyFill="1" applyBorder="1"/>
    <xf numFmtId="3" fontId="3" fillId="0" borderId="1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165" fontId="2" fillId="2" borderId="6" xfId="0" applyNumberFormat="1" applyFont="1" applyFill="1" applyBorder="1"/>
    <xf numFmtId="3" fontId="3" fillId="0" borderId="6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0" fontId="3" fillId="0" borderId="0" xfId="0" applyFont="1"/>
    <xf numFmtId="164" fontId="3" fillId="0" borderId="0" xfId="2" applyNumberFormat="1" applyFont="1"/>
    <xf numFmtId="0" fontId="3" fillId="2" borderId="0" xfId="0" applyFont="1" applyFill="1"/>
    <xf numFmtId="0" fontId="5" fillId="3" borderId="0" xfId="0" applyFont="1" applyFill="1"/>
    <xf numFmtId="164" fontId="5" fillId="3" borderId="0" xfId="2" applyNumberFormat="1" applyFont="1" applyFill="1"/>
    <xf numFmtId="0" fontId="2" fillId="2" borderId="1" xfId="0" applyFont="1" applyFill="1" applyBorder="1"/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6" fontId="3" fillId="0" borderId="9" xfId="3" applyNumberFormat="1" applyFont="1" applyBorder="1"/>
    <xf numFmtId="166" fontId="3" fillId="0" borderId="10" xfId="3" applyNumberFormat="1" applyFont="1" applyBorder="1"/>
    <xf numFmtId="166" fontId="3" fillId="0" borderId="11" xfId="3" applyNumberFormat="1" applyFont="1" applyBorder="1"/>
    <xf numFmtId="167" fontId="3" fillId="0" borderId="9" xfId="0" applyNumberFormat="1" applyFont="1" applyBorder="1"/>
    <xf numFmtId="167" fontId="3" fillId="0" borderId="10" xfId="0" applyNumberFormat="1" applyFont="1" applyBorder="1"/>
    <xf numFmtId="167" fontId="3" fillId="0" borderId="11" xfId="0" applyNumberFormat="1" applyFont="1" applyBorder="1"/>
    <xf numFmtId="0" fontId="2" fillId="2" borderId="1" xfId="0" applyFont="1" applyFill="1" applyBorder="1" applyAlignment="1">
      <alignment horizontal="center"/>
    </xf>
    <xf numFmtId="3" fontId="3" fillId="0" borderId="9" xfId="0" applyNumberFormat="1" applyFont="1" applyBorder="1"/>
    <xf numFmtId="3" fontId="3" fillId="0" borderId="10" xfId="0" applyNumberFormat="1" applyFont="1" applyBorder="1"/>
    <xf numFmtId="3" fontId="3" fillId="0" borderId="11" xfId="0" applyNumberFormat="1" applyFont="1" applyBorder="1"/>
    <xf numFmtId="3" fontId="3" fillId="0" borderId="0" xfId="0" applyNumberFormat="1" applyFont="1"/>
    <xf numFmtId="0" fontId="2" fillId="2" borderId="0" xfId="0" applyFont="1" applyFill="1"/>
    <xf numFmtId="0" fontId="2" fillId="2" borderId="0" xfId="0" applyFont="1" applyFill="1" applyBorder="1" applyAlignment="1">
      <alignment vertical="center"/>
    </xf>
    <xf numFmtId="167" fontId="3" fillId="0" borderId="13" xfId="1" applyNumberFormat="1" applyFont="1" applyBorder="1"/>
    <xf numFmtId="167" fontId="3" fillId="0" borderId="14" xfId="1" applyNumberFormat="1" applyFont="1" applyBorder="1"/>
    <xf numFmtId="167" fontId="3" fillId="0" borderId="14" xfId="0" applyNumberFormat="1" applyFont="1" applyBorder="1"/>
    <xf numFmtId="167" fontId="7" fillId="0" borderId="15" xfId="0" applyNumberFormat="1" applyFont="1" applyBorder="1"/>
    <xf numFmtId="167" fontId="7" fillId="0" borderId="12" xfId="0" applyNumberFormat="1" applyFont="1" applyBorder="1"/>
    <xf numFmtId="164" fontId="8" fillId="0" borderId="0" xfId="2" applyNumberFormat="1" applyFont="1" applyFill="1"/>
    <xf numFmtId="164" fontId="3" fillId="0" borderId="0" xfId="2" applyNumberFormat="1" applyFont="1" applyBorder="1"/>
    <xf numFmtId="0" fontId="4" fillId="2" borderId="6" xfId="0" applyFont="1" applyFill="1" applyBorder="1"/>
    <xf numFmtId="164" fontId="7" fillId="0" borderId="7" xfId="2" applyNumberFormat="1" applyFont="1" applyBorder="1"/>
    <xf numFmtId="164" fontId="7" fillId="0" borderId="8" xfId="2" applyNumberFormat="1" applyFont="1" applyBorder="1"/>
    <xf numFmtId="164" fontId="7" fillId="0" borderId="5" xfId="2" applyNumberFormat="1" applyFont="1" applyBorder="1"/>
    <xf numFmtId="0" fontId="4" fillId="2" borderId="5" xfId="0" applyFont="1" applyFill="1" applyBorder="1" applyAlignment="1">
      <alignment horizontal="center"/>
    </xf>
    <xf numFmtId="0" fontId="9" fillId="0" borderId="0" xfId="0" applyFont="1"/>
    <xf numFmtId="0" fontId="10" fillId="0" borderId="0" xfId="4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1" fillId="0" borderId="0" xfId="0" applyFont="1"/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0"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vertAlign val="baseline"/>
        <sz val="10"/>
        <name val="SAS Monospace"/>
        <family val="3"/>
        <scheme val="none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vertAlign val="baseline"/>
        <sz val="10"/>
        <name val="SAS Monospace"/>
        <family val="3"/>
        <scheme val="none"/>
      </font>
      <fill>
        <patternFill patternType="solid">
          <fgColor indexed="64"/>
          <bgColor theme="4" tint="-0.49998474074526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numFmt numFmtId="164" formatCode="_(&quot;$&quot;* #,##0_);_(&quot;$&quot;* \(#,##0\);_(&quot;$&quot;* &quot;-&quot;??_);_(@_)"/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color theme="4" tint="-0.499984740745262"/>
        <name val="SAS Monospace"/>
        <family val="3"/>
        <scheme val="none"/>
      </font>
      <fill>
        <patternFill patternType="solid">
          <fgColor indexed="64"/>
          <bgColor theme="4" tint="0.79998168889431442"/>
        </patternFill>
      </fill>
    </dxf>
    <dxf>
      <font>
        <strike val="0"/>
        <outline val="0"/>
        <shadow val="0"/>
        <u val="none"/>
        <vertAlign val="baseline"/>
        <sz val="10"/>
        <name val="SAS Monospace"/>
        <family val="3"/>
        <scheme val="none"/>
      </font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8715FCA-A975-435D-8F17-FF343D1DF0F7}" name="Table1" displayName="Table1" ref="A1:F9" totalsRowShown="0" headerRowDxfId="29" dataDxfId="28">
  <autoFilter ref="A1:F9" xr:uid="{53C5648B-BB8B-498D-8B8C-447B6ADEBF45}"/>
  <tableColumns count="6">
    <tableColumn id="1" xr3:uid="{40E2AB0F-73CF-484A-914A-6502D1B0EADF}" name="Level of Care" dataDxfId="27"/>
    <tableColumn id="2" xr3:uid="{629AD809-0F95-4E9F-8786-D43D6F809C07}" name="Entitlements" dataDxfId="26" dataCellStyle="Currency"/>
    <tableColumn id="3" xr3:uid="{40C04162-B542-467E-8774-527144FB4006}" name="GR" dataDxfId="25" dataCellStyle="Currency"/>
    <tableColumn id="4" xr3:uid="{6B794E06-1416-4573-9544-EA33225D4867}" name="Other" dataDxfId="24" dataCellStyle="Currency"/>
    <tableColumn id="5" xr3:uid="{D565F2E9-F83A-4B93-93DC-9CF21EA33925}" name="TANF" dataDxfId="23" dataCellStyle="Currency"/>
    <tableColumn id="6" xr3:uid="{6120090A-ADA3-47DB-8041-F2C1A291684A}" name="Grand Total" dataDxfId="22" dataCellStyle="Currency"/>
  </tableColumns>
  <tableStyleInfo name="TableStyleMedium2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4A3027-FD87-4994-86BD-9D89C0800092}" name="Table2" displayName="Table2" ref="A1:I16" totalsRowShown="0" headerRowDxfId="21" dataDxfId="20">
  <autoFilter ref="A1:I16" xr:uid="{B6FE232C-B17C-4288-B6CF-118F3FC5ABD4}"/>
  <tableColumns count="9">
    <tableColumn id="1" xr3:uid="{6819414E-D888-4B6E-9F1F-EFC25F75DAD2}" name="Catchment Area" dataDxfId="19"/>
    <tableColumn id="2" xr3:uid="{3A937878-22C9-41E8-B894-603E34896248}" name="Level of Care" dataDxfId="18"/>
    <tableColumn id="8" xr3:uid="{C84B3EFC-5E5D-4D6C-9C13-65433164C17B}" name="PAC" dataDxfId="17"/>
    <tableColumn id="3" xr3:uid="{785345B4-CF59-4AEA-9BC2-58BCA7D7F659}" name="Entitlements" dataDxfId="16" dataCellStyle="Currency"/>
    <tableColumn id="4" xr3:uid="{132CE1B2-68EA-40BA-94FA-A1269956D10E}" name="GR" dataDxfId="15" dataCellStyle="Currency"/>
    <tableColumn id="5" xr3:uid="{A507BEBF-D184-401D-8A5C-F723DCD92E5C}" name="TANF" dataDxfId="14" dataCellStyle="Currency"/>
    <tableColumn id="6" xr3:uid="{1BF40730-21EA-4182-8EFD-E5A103C5F950}" name="Grand Total" dataDxfId="13" dataCellStyle="Currency"/>
    <tableColumn id="9" xr3:uid="{A873D38D-AD66-4224-8C59-471CBF5AF301}" name="IV-E" dataDxfId="12" dataCellStyle="Currency">
      <calculatedColumnFormula>IF(Table2[[#This Row],[PAC]]="26300","IV-E","Non IV-E")</calculatedColumnFormula>
    </tableColumn>
    <tableColumn id="10" xr3:uid="{42837D80-E3AD-4C7E-9C09-6B67BCE69BD2}" name="Alias" dataDxfId="11" dataCellStyle="Currency">
      <calculatedColumnFormula>_xlfn.CONCAT(Table2[[#This Row],[Catchment Area]],Table2[[#This Row],[Level of Care]],Table2[[#This Row],[IV-E]])</calculatedColumnFormula>
    </tableColumn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421F20B-5D1B-4870-8917-6DF96033C971}" name="Table24" displayName="Table24" ref="A18:I34" totalsRowShown="0" headerRowDxfId="10" dataDxfId="9">
  <autoFilter ref="A18:I34" xr:uid="{A135B29D-6633-4078-8949-279BE5124372}"/>
  <tableColumns count="9">
    <tableColumn id="1" xr3:uid="{40E64EA2-B45B-452B-8032-FD7B63B9DF20}" name="Catchment Area" dataDxfId="8"/>
    <tableColumn id="2" xr3:uid="{936B47F5-A7DB-4EC9-8AAE-A61383BE2677}" name="Level of Care" dataDxfId="7"/>
    <tableColumn id="8" xr3:uid="{D471441D-06FD-4C73-BF11-6D270EA4364D}" name="PAC" dataDxfId="6"/>
    <tableColumn id="3" xr3:uid="{3ADECF3E-9E3B-430C-8548-4845B303DC19}" name="Entitlements" dataDxfId="5" dataCellStyle="Currency">
      <calculatedColumnFormula>IFERROR(INDEX(Table2[Entitlements],MATCH(Table24[[#This Row],[Alias]:[Alias]],Table2[[Alias]:[Alias]],0))*INDEX($V$5:$AK$5,1,MATCH(Table24[[#This Row],[Alias]:[Alias]],$V$4:$AK$4,0)),0)</calculatedColumnFormula>
    </tableColumn>
    <tableColumn id="4" xr3:uid="{7396C4A6-0F05-42BF-AF4F-5957622B7E69}" name="GR" dataDxfId="4" dataCellStyle="Currency">
      <calculatedColumnFormula>IFERROR(INDEX(Table2[GR],MATCH(Table24[[#This Row],[Alias]:[Alias]],Table2[[Alias]:[Alias]],0))*INDEX($V$5:$AK$5,1,MATCH(Table24[[#This Row],[Alias]:[Alias]],$V$4:$AK$4,0)),0)</calculatedColumnFormula>
    </tableColumn>
    <tableColumn id="5" xr3:uid="{38A2FA58-48AE-4A78-8633-F6F246E7D0D8}" name="TANF" dataDxfId="3" dataCellStyle="Currency">
      <calculatedColumnFormula>IFERROR(INDEX(Table2[TANF],MATCH(Table24[[#This Row],[Alias]:[Alias]],Table2[[Alias]:[Alias]],0))*INDEX($V$5:$AK$5,1,MATCH(Table24[[#This Row],[Alias]:[Alias]],$V$4:$AK$4,0)),0)</calculatedColumnFormula>
    </tableColumn>
    <tableColumn id="6" xr3:uid="{3705BE40-5D9D-448E-84CD-76D609EDF870}" name="Grand Total" dataDxfId="2" dataCellStyle="Currency">
      <calculatedColumnFormula>IFERROR(INDEX(Table2[Grand Total],MATCH(Table24[[#This Row],[Alias]:[Alias]],Table2[[Alias]:[Alias]],0))*INDEX($V$5:$AK$5,1,MATCH(Table24[[#This Row],[Alias]:[Alias]],$V$4:$AK$4,0)),0)</calculatedColumnFormula>
    </tableColumn>
    <tableColumn id="9" xr3:uid="{ABA7A59E-6951-469B-B93C-C5192244FD52}" name="IV-E" dataDxfId="1" dataCellStyle="Currency">
      <calculatedColumnFormula>IF(Table24[[#This Row],[PAC]]="26300","IV-E","Non IV-E")</calculatedColumnFormula>
    </tableColumn>
    <tableColumn id="10" xr3:uid="{DD612DAD-0981-4AC3-B9D0-2644FA13BA62}" name="Alias" dataDxfId="0" dataCellStyle="Currency">
      <calculatedColumnFormula>_xlfn.CONCAT(Table24[[#This Row],[Catchment Area]],Table24[[#This Row],[Level of Care]],Table24[[#This Row],[IV-E]])</calculatedColumnFormula>
    </tableColumn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0F041-8AED-4A71-B4B2-944865041220}">
  <dimension ref="A1:A5"/>
  <sheetViews>
    <sheetView tabSelected="1" workbookViewId="0">
      <selection activeCell="M11" sqref="M11"/>
    </sheetView>
  </sheetViews>
  <sheetFormatPr defaultRowHeight="15"/>
  <cols>
    <col min="1" max="1" width="25" bestFit="1" customWidth="1"/>
  </cols>
  <sheetData>
    <row r="1" spans="1:1" ht="22.5">
      <c r="A1" s="72" t="s">
        <v>47</v>
      </c>
    </row>
    <row r="2" spans="1:1" s="56" customFormat="1" ht="24.75" customHeight="1">
      <c r="A2" s="55" t="s">
        <v>48</v>
      </c>
    </row>
    <row r="3" spans="1:1" s="56" customFormat="1" ht="24.75" customHeight="1">
      <c r="A3" s="55" t="s">
        <v>49</v>
      </c>
    </row>
    <row r="4" spans="1:1" s="56" customFormat="1" ht="24.75" customHeight="1">
      <c r="A4" s="55" t="s">
        <v>50</v>
      </c>
    </row>
    <row r="5" spans="1:1">
      <c r="A5" s="54" t="s">
        <v>51</v>
      </c>
    </row>
  </sheetData>
  <hyperlinks>
    <hyperlink ref="A2" location="Summary!A1" display="Summary" xr:uid="{B65520A8-9AB2-4F4A-B6EA-F79FA2299A6E}"/>
    <hyperlink ref="A3" location="'Legacy Data'!A1" display="Legacy Data" xr:uid="{4D0C3592-83C6-40A8-A7FB-B02047115058}"/>
    <hyperlink ref="A4" location="'CBC Data'!A1" display="CBC Data" xr:uid="{BBE81C2A-34B6-47E8-8CA1-F13CCF94DDD3}"/>
  </hyperlink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B9232-6726-4893-9655-CBB447942DB5}">
  <dimension ref="A1:K28"/>
  <sheetViews>
    <sheetView zoomScale="130" zoomScaleNormal="130" workbookViewId="0">
      <selection activeCell="F21" sqref="F21"/>
    </sheetView>
  </sheetViews>
  <sheetFormatPr defaultColWidth="8.796875" defaultRowHeight="13.5"/>
  <cols>
    <col min="1" max="1" width="8.796875" style="15"/>
    <col min="2" max="2" width="9.69921875" style="15" bestFit="1" customWidth="1"/>
    <col min="3" max="3" width="20.3984375" style="15" bestFit="1" customWidth="1"/>
    <col min="4" max="5" width="8.796875" style="15"/>
    <col min="6" max="6" width="10.796875" style="15" bestFit="1" customWidth="1"/>
    <col min="7" max="11" width="12.69921875" style="15" customWidth="1"/>
    <col min="12" max="16384" width="8.796875" style="15"/>
  </cols>
  <sheetData>
    <row r="1" spans="1:11">
      <c r="A1" s="66" t="s">
        <v>46</v>
      </c>
      <c r="B1" s="67"/>
      <c r="C1" s="67"/>
      <c r="D1" s="68"/>
      <c r="F1" s="66" t="s">
        <v>45</v>
      </c>
      <c r="G1" s="67"/>
      <c r="H1" s="67"/>
      <c r="I1" s="67"/>
      <c r="J1" s="67"/>
      <c r="K1" s="68"/>
    </row>
    <row r="2" spans="1:11" ht="14.25" thickBot="1">
      <c r="A2" s="25" t="s">
        <v>32</v>
      </c>
      <c r="B2" s="26" t="s">
        <v>33</v>
      </c>
      <c r="C2" s="26" t="s">
        <v>0</v>
      </c>
      <c r="D2" s="27" t="s">
        <v>36</v>
      </c>
      <c r="F2" s="25" t="s">
        <v>32</v>
      </c>
      <c r="G2" s="26" t="s">
        <v>1</v>
      </c>
      <c r="H2" s="26" t="s">
        <v>2</v>
      </c>
      <c r="I2" s="26" t="s">
        <v>3</v>
      </c>
      <c r="J2" s="26" t="s">
        <v>4</v>
      </c>
      <c r="K2" s="53" t="s">
        <v>40</v>
      </c>
    </row>
    <row r="3" spans="1:11">
      <c r="A3" s="69" t="s">
        <v>34</v>
      </c>
      <c r="B3" s="65" t="s">
        <v>35</v>
      </c>
      <c r="C3" s="41" t="s">
        <v>6</v>
      </c>
      <c r="D3" s="42">
        <f>INDEX('Legacy Data'!$I$16:$Q$16,1,MATCH(Summary!$C3,'Legacy Data'!$I$15:$Q$15,0))</f>
        <v>244.74177881842593</v>
      </c>
      <c r="F3" s="24" t="s">
        <v>34</v>
      </c>
      <c r="G3" s="48">
        <f>INDEX('Legacy Data'!$B$12:$E$12,1,MATCH(Summary!G$2,'Legacy Data'!$B$11:$E$11,0))</f>
        <v>5213169.24</v>
      </c>
      <c r="H3" s="48">
        <f>INDEX('Legacy Data'!$B$12:$E$12,1,MATCH(Summary!H$2,'Legacy Data'!$B$11:$E$11,0))</f>
        <v>26909270.509999998</v>
      </c>
      <c r="I3" s="48">
        <f>INDEX('Legacy Data'!$B$12:$E$12,1,MATCH(Summary!I$2,'Legacy Data'!$B$11:$E$11,0))</f>
        <v>0</v>
      </c>
      <c r="J3" s="48">
        <f>INDEX('Legacy Data'!$B$12:$E$12,1,MATCH(Summary!J$2,'Legacy Data'!$B$11:$E$11,0))</f>
        <v>10201633.24</v>
      </c>
      <c r="K3" s="52">
        <f>SUM(G3:J3)</f>
        <v>42324072.990000002</v>
      </c>
    </row>
    <row r="4" spans="1:11">
      <c r="A4" s="69"/>
      <c r="B4" s="65"/>
      <c r="C4" s="41" t="s">
        <v>7</v>
      </c>
      <c r="D4" s="43">
        <f>INDEX('Legacy Data'!$I$16:$Q$16,1,MATCH(Summary!$C4,'Legacy Data'!$I$15:$Q$15,0))</f>
        <v>174.4857898703921</v>
      </c>
      <c r="F4" s="24" t="s">
        <v>41</v>
      </c>
      <c r="G4" s="48">
        <f>IFERROR(INDEX('CBC Data'!$D$37:$F$37,1,MATCH(Summary!G$2,'CBC Data'!$D$36:$F$36,0)),0)</f>
        <v>1778411.098508293</v>
      </c>
      <c r="H4" s="48">
        <f>IFERROR(INDEX('CBC Data'!$D$37:$F$37,1,MATCH(Summary!H$2,'CBC Data'!$D$36:$F$36,0)),0)</f>
        <v>6675853.0320896711</v>
      </c>
      <c r="I4" s="48">
        <f>IFERROR(INDEX('CBC Data'!$D$37:$F$37,1,MATCH(Summary!I$2,'CBC Data'!$D$36:$F$36,0)),0)</f>
        <v>0</v>
      </c>
      <c r="J4" s="48">
        <f>IFERROR(INDEX('CBC Data'!$D$37:$F$37,1,MATCH(Summary!J$2,'CBC Data'!$D$36:$F$36,0)),0)</f>
        <v>5691050.6865547216</v>
      </c>
      <c r="K4" s="52">
        <f t="shared" ref="K4:K5" si="0">SUM(G4:J4)</f>
        <v>14145314.817152686</v>
      </c>
    </row>
    <row r="5" spans="1:11" ht="14.25" thickBot="1">
      <c r="A5" s="69"/>
      <c r="B5" s="65"/>
      <c r="C5" s="41" t="s">
        <v>8</v>
      </c>
      <c r="D5" s="43">
        <f>INDEX('Legacy Data'!$I$16:$Q$16,1,MATCH(Summary!$C5,'Legacy Data'!$I$15:$Q$15,0))</f>
        <v>663.18567855972572</v>
      </c>
      <c r="F5" s="49" t="s">
        <v>40</v>
      </c>
      <c r="G5" s="50">
        <f>SUM(G3:G4)</f>
        <v>6991580.338508293</v>
      </c>
      <c r="H5" s="50">
        <f t="shared" ref="H5:J5" si="1">SUM(H3:H4)</f>
        <v>33585123.542089671</v>
      </c>
      <c r="I5" s="50">
        <f t="shared" si="1"/>
        <v>0</v>
      </c>
      <c r="J5" s="50">
        <f t="shared" si="1"/>
        <v>15892683.926554721</v>
      </c>
      <c r="K5" s="51">
        <f t="shared" si="0"/>
        <v>56469387.807152689</v>
      </c>
    </row>
    <row r="6" spans="1:11" ht="15" customHeight="1">
      <c r="A6" s="69"/>
      <c r="B6" s="65"/>
      <c r="C6" s="41" t="s">
        <v>9</v>
      </c>
      <c r="D6" s="43">
        <f>INDEX('Legacy Data'!$I$16:$Q$16,1,MATCH(Summary!$C6,'Legacy Data'!$I$15:$Q$15,0))</f>
        <v>193.37495283712181</v>
      </c>
      <c r="F6" s="57" t="s">
        <v>44</v>
      </c>
      <c r="G6" s="57"/>
      <c r="H6" s="57"/>
      <c r="I6" s="57"/>
      <c r="J6" s="57"/>
      <c r="K6" s="57"/>
    </row>
    <row r="7" spans="1:11">
      <c r="A7" s="69"/>
      <c r="B7" s="65"/>
      <c r="C7" s="41" t="s">
        <v>10</v>
      </c>
      <c r="D7" s="43">
        <f>INDEX('Legacy Data'!$I$16:$Q$16,1,MATCH(Summary!$C7,'Legacy Data'!$I$15:$Q$15,0))</f>
        <v>0</v>
      </c>
      <c r="F7" s="58"/>
      <c r="G7" s="58"/>
      <c r="H7" s="58"/>
      <c r="I7" s="58"/>
      <c r="J7" s="58"/>
      <c r="K7" s="58"/>
    </row>
    <row r="8" spans="1:11">
      <c r="A8" s="69"/>
      <c r="B8" s="65"/>
      <c r="C8" s="41" t="s">
        <v>24</v>
      </c>
      <c r="D8" s="43">
        <f>INDEX('Legacy Data'!$I$16:$Q$16,1,MATCH(Summary!$C8,'Legacy Data'!$I$15:$Q$15,0))</f>
        <v>6.4627446485524667</v>
      </c>
      <c r="F8" s="58"/>
      <c r="G8" s="58"/>
      <c r="H8" s="58"/>
      <c r="I8" s="58"/>
      <c r="J8" s="58"/>
      <c r="K8" s="58"/>
    </row>
    <row r="9" spans="1:11">
      <c r="A9" s="69"/>
      <c r="B9" s="65"/>
      <c r="C9" s="41" t="s">
        <v>23</v>
      </c>
      <c r="D9" s="43">
        <f>INDEX('Legacy Data'!$I$16:$Q$16,1,MATCH(Summary!$C9,'Legacy Data'!$I$15:$Q$15,0))</f>
        <v>357.50024744439935</v>
      </c>
      <c r="F9" s="58"/>
      <c r="G9" s="58"/>
      <c r="H9" s="58"/>
      <c r="I9" s="58"/>
      <c r="J9" s="58"/>
      <c r="K9" s="58"/>
    </row>
    <row r="10" spans="1:11">
      <c r="A10" s="69"/>
      <c r="B10" s="65"/>
      <c r="C10" s="41" t="s">
        <v>13</v>
      </c>
      <c r="D10" s="43">
        <f>INDEX('Legacy Data'!$I$16:$Q$16,1,MATCH(Summary!$C10,'Legacy Data'!$I$15:$Q$15,0))</f>
        <v>22.244086021505378</v>
      </c>
      <c r="F10" s="58"/>
      <c r="G10" s="58"/>
      <c r="H10" s="58"/>
      <c r="I10" s="58"/>
      <c r="J10" s="58"/>
      <c r="K10" s="58"/>
    </row>
    <row r="11" spans="1:11">
      <c r="A11" s="69"/>
      <c r="B11" s="65"/>
      <c r="C11" s="41" t="s">
        <v>25</v>
      </c>
      <c r="D11" s="43">
        <f>INDEX('Legacy Data'!$I$16:$Q$16,1,MATCH(Summary!$C11,'Legacy Data'!$I$15:$Q$15,0))</f>
        <v>333.08173278572525</v>
      </c>
      <c r="F11" s="58"/>
      <c r="G11" s="58"/>
      <c r="H11" s="58"/>
      <c r="I11" s="58"/>
      <c r="J11" s="58"/>
      <c r="K11" s="58"/>
    </row>
    <row r="12" spans="1:11" ht="14.25" thickBot="1">
      <c r="A12" s="59" t="s">
        <v>37</v>
      </c>
      <c r="B12" s="60"/>
      <c r="C12" s="60"/>
      <c r="D12" s="45">
        <f>SUM(D3:D11)</f>
        <v>1995.0770109858479</v>
      </c>
    </row>
    <row r="13" spans="1:11">
      <c r="A13" s="69" t="s">
        <v>41</v>
      </c>
      <c r="B13" s="65">
        <v>1</v>
      </c>
      <c r="C13" s="41" t="s">
        <v>17</v>
      </c>
      <c r="D13" s="44">
        <f>'CBC Data'!L$18</f>
        <v>149.77887591397848</v>
      </c>
    </row>
    <row r="14" spans="1:11">
      <c r="A14" s="69"/>
      <c r="B14" s="65"/>
      <c r="C14" s="41" t="s">
        <v>18</v>
      </c>
      <c r="D14" s="44">
        <f>'CBC Data'!M$18</f>
        <v>57.467624874551973</v>
      </c>
    </row>
    <row r="15" spans="1:11">
      <c r="A15" s="69"/>
      <c r="B15" s="65">
        <v>2</v>
      </c>
      <c r="C15" s="41" t="s">
        <v>17</v>
      </c>
      <c r="D15" s="44">
        <f>'CBC Data'!N$18</f>
        <v>75.872141433691752</v>
      </c>
    </row>
    <row r="16" spans="1:11">
      <c r="A16" s="69"/>
      <c r="B16" s="65"/>
      <c r="C16" s="41" t="s">
        <v>18</v>
      </c>
      <c r="D16" s="44">
        <f>'CBC Data'!O$18</f>
        <v>27.34083139784946</v>
      </c>
    </row>
    <row r="17" spans="1:4">
      <c r="A17" s="69"/>
      <c r="B17" s="65" t="s">
        <v>20</v>
      </c>
      <c r="C17" s="41" t="s">
        <v>17</v>
      </c>
      <c r="D17" s="44">
        <f>'CBC Data'!P$18</f>
        <v>180.60906727598567</v>
      </c>
    </row>
    <row r="18" spans="1:4">
      <c r="A18" s="69"/>
      <c r="B18" s="65"/>
      <c r="C18" s="41" t="s">
        <v>18</v>
      </c>
      <c r="D18" s="44">
        <f>'CBC Data'!Q$18</f>
        <v>76.849149677419348</v>
      </c>
    </row>
    <row r="19" spans="1:4">
      <c r="A19" s="69"/>
      <c r="B19" s="65" t="s">
        <v>21</v>
      </c>
      <c r="C19" s="41" t="s">
        <v>17</v>
      </c>
      <c r="D19" s="44">
        <f>'CBC Data'!R$18</f>
        <v>8.09794752688172</v>
      </c>
    </row>
    <row r="20" spans="1:4">
      <c r="A20" s="69"/>
      <c r="B20" s="65"/>
      <c r="C20" s="41" t="s">
        <v>18</v>
      </c>
      <c r="D20" s="44">
        <f>'CBC Data'!S$18</f>
        <v>0.15555555555555556</v>
      </c>
    </row>
    <row r="21" spans="1:4" ht="14.25" thickBot="1">
      <c r="A21" s="61" t="s">
        <v>38</v>
      </c>
      <c r="B21" s="62"/>
      <c r="C21" s="62"/>
      <c r="D21" s="45">
        <f>SUM(D13:D20)</f>
        <v>576.17119365591395</v>
      </c>
    </row>
    <row r="22" spans="1:4" ht="14.25" thickBot="1">
      <c r="A22" s="63" t="s">
        <v>5</v>
      </c>
      <c r="B22" s="64"/>
      <c r="C22" s="64"/>
      <c r="D22" s="46">
        <f>SUM(D21,D12)</f>
        <v>2571.2482046417617</v>
      </c>
    </row>
    <row r="23" spans="1:4" ht="15" customHeight="1">
      <c r="A23" s="57" t="s">
        <v>43</v>
      </c>
      <c r="B23" s="57"/>
      <c r="C23" s="57"/>
      <c r="D23" s="57"/>
    </row>
    <row r="24" spans="1:4">
      <c r="A24" s="58"/>
      <c r="B24" s="58"/>
      <c r="C24" s="58"/>
      <c r="D24" s="58"/>
    </row>
    <row r="25" spans="1:4">
      <c r="A25" s="58"/>
      <c r="B25" s="58"/>
      <c r="C25" s="58"/>
      <c r="D25" s="58"/>
    </row>
    <row r="26" spans="1:4">
      <c r="A26" s="58"/>
      <c r="B26" s="58"/>
      <c r="C26" s="58"/>
      <c r="D26" s="58"/>
    </row>
    <row r="27" spans="1:4">
      <c r="A27" s="58"/>
      <c r="B27" s="58"/>
      <c r="C27" s="58"/>
      <c r="D27" s="58"/>
    </row>
    <row r="28" spans="1:4">
      <c r="A28" s="58"/>
      <c r="B28" s="58"/>
      <c r="C28" s="58"/>
      <c r="D28" s="58"/>
    </row>
  </sheetData>
  <mergeCells count="14">
    <mergeCell ref="A1:D1"/>
    <mergeCell ref="F1:K1"/>
    <mergeCell ref="A3:A11"/>
    <mergeCell ref="B3:B11"/>
    <mergeCell ref="B13:B14"/>
    <mergeCell ref="A13:A20"/>
    <mergeCell ref="A23:D28"/>
    <mergeCell ref="F6:K11"/>
    <mergeCell ref="A12:C12"/>
    <mergeCell ref="A21:C21"/>
    <mergeCell ref="A22:C22"/>
    <mergeCell ref="B15:B16"/>
    <mergeCell ref="B17:B18"/>
    <mergeCell ref="B19:B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77DEE-799E-4750-A42A-8D017A0AE7BD}">
  <dimension ref="A1:Q18"/>
  <sheetViews>
    <sheetView zoomScale="85" zoomScaleNormal="85" workbookViewId="0"/>
  </sheetViews>
  <sheetFormatPr defaultColWidth="8.796875" defaultRowHeight="13.5"/>
  <cols>
    <col min="1" max="1" width="20.3984375" style="15" bestFit="1" customWidth="1"/>
    <col min="2" max="2" width="12.69921875" style="15" customWidth="1"/>
    <col min="3" max="3" width="15.296875" style="15" bestFit="1" customWidth="1"/>
    <col min="4" max="4" width="12.59765625" style="15" bestFit="1" customWidth="1"/>
    <col min="5" max="5" width="14.296875" style="15" bestFit="1" customWidth="1"/>
    <col min="6" max="6" width="14" style="15" bestFit="1" customWidth="1"/>
    <col min="7" max="7" width="8.796875" style="15"/>
    <col min="8" max="10" width="8.796875" style="15" bestFit="1" customWidth="1"/>
    <col min="11" max="11" width="9.5" style="15" bestFit="1" customWidth="1"/>
    <col min="12" max="17" width="8.796875" style="15" bestFit="1" customWidth="1"/>
    <col min="18" max="16384" width="8.796875" style="15"/>
  </cols>
  <sheetData>
    <row r="1" spans="1:17" ht="27.75" thickBot="1">
      <c r="A1" s="17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H1" s="1" t="s">
        <v>22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23</v>
      </c>
      <c r="O1" s="2" t="s">
        <v>24</v>
      </c>
      <c r="P1" s="2" t="s">
        <v>13</v>
      </c>
      <c r="Q1" s="3" t="s">
        <v>25</v>
      </c>
    </row>
    <row r="2" spans="1:17">
      <c r="A2" s="18" t="s">
        <v>6</v>
      </c>
      <c r="B2" s="19">
        <v>216192.5</v>
      </c>
      <c r="C2" s="19">
        <v>430096.32999999996</v>
      </c>
      <c r="D2" s="19"/>
      <c r="E2" s="19">
        <v>358542.36000000004</v>
      </c>
      <c r="F2" s="19">
        <v>1004831.19</v>
      </c>
      <c r="H2" s="4">
        <v>44440</v>
      </c>
      <c r="I2" s="5">
        <v>250.43923434388137</v>
      </c>
      <c r="J2" s="6">
        <v>185.07464051676573</v>
      </c>
      <c r="K2" s="6">
        <v>651.26644550086212</v>
      </c>
      <c r="L2" s="6">
        <v>192.27226087897031</v>
      </c>
      <c r="M2" s="6">
        <v>0</v>
      </c>
      <c r="N2" s="6">
        <v>381.31021743288397</v>
      </c>
      <c r="O2" s="6">
        <v>6.0626292308925276</v>
      </c>
      <c r="P2" s="6">
        <v>20.7</v>
      </c>
      <c r="Q2" s="7">
        <v>333.6294478985721</v>
      </c>
    </row>
    <row r="3" spans="1:17">
      <c r="A3" s="18" t="s">
        <v>7</v>
      </c>
      <c r="B3" s="19">
        <v>335458.33999999997</v>
      </c>
      <c r="C3" s="19">
        <v>874284.71</v>
      </c>
      <c r="D3" s="19"/>
      <c r="E3" s="19">
        <v>693421.64</v>
      </c>
      <c r="F3" s="19">
        <v>1903164.69</v>
      </c>
      <c r="H3" s="4">
        <f>EDATE(H2,1)</f>
        <v>44470</v>
      </c>
      <c r="I3" s="8">
        <v>250.27094204398634</v>
      </c>
      <c r="J3" s="9">
        <v>175.98727839972054</v>
      </c>
      <c r="K3" s="9">
        <v>672.53656249122594</v>
      </c>
      <c r="L3" s="9">
        <v>195.74253823837688</v>
      </c>
      <c r="M3" s="9">
        <v>0</v>
      </c>
      <c r="N3" s="9">
        <v>360.34089144306006</v>
      </c>
      <c r="O3" s="9">
        <v>7.367277608598771</v>
      </c>
      <c r="P3" s="9">
        <v>22.032258064516128</v>
      </c>
      <c r="Q3" s="10">
        <v>331.02518469362826</v>
      </c>
    </row>
    <row r="4" spans="1:17">
      <c r="A4" s="18" t="s">
        <v>8</v>
      </c>
      <c r="B4" s="19">
        <v>2644391.2999999998</v>
      </c>
      <c r="C4" s="19">
        <v>5728368.3599999994</v>
      </c>
      <c r="D4" s="19"/>
      <c r="E4" s="19">
        <v>4913558.5599999996</v>
      </c>
      <c r="F4" s="19">
        <v>13286318.219999999</v>
      </c>
      <c r="H4" s="4">
        <f t="shared" ref="H4:H13" si="0">EDATE(H3,1)</f>
        <v>44501</v>
      </c>
      <c r="I4" s="8">
        <v>233.51516006741002</v>
      </c>
      <c r="J4" s="9">
        <v>162.39545069469003</v>
      </c>
      <c r="K4" s="9">
        <v>665.75402768708886</v>
      </c>
      <c r="L4" s="9">
        <v>192.11005939401826</v>
      </c>
      <c r="M4" s="9">
        <v>0</v>
      </c>
      <c r="N4" s="9">
        <v>330.84963345725407</v>
      </c>
      <c r="O4" s="9">
        <v>5.9583271061661014</v>
      </c>
      <c r="P4" s="9">
        <v>24</v>
      </c>
      <c r="Q4" s="10">
        <v>334.59056576497534</v>
      </c>
    </row>
    <row r="5" spans="1:17">
      <c r="A5" s="18" t="s">
        <v>9</v>
      </c>
      <c r="B5" s="19">
        <v>1015745.54</v>
      </c>
      <c r="C5" s="19">
        <v>2181334.73</v>
      </c>
      <c r="D5" s="19"/>
      <c r="E5" s="19">
        <v>2241234.9200000004</v>
      </c>
      <c r="F5" s="19">
        <v>5438315.1900000004</v>
      </c>
      <c r="H5" s="4">
        <f t="shared" si="0"/>
        <v>44531</v>
      </c>
      <c r="I5" s="8">
        <v>194.27223965562172</v>
      </c>
      <c r="J5" s="9">
        <v>152.24598517441268</v>
      </c>
      <c r="K5" s="9">
        <v>644.96546066896758</v>
      </c>
      <c r="L5" s="9">
        <v>168.64252352572271</v>
      </c>
      <c r="M5" s="9">
        <v>0.967741935483871</v>
      </c>
      <c r="N5" s="9">
        <v>346.2750433226729</v>
      </c>
      <c r="O5" s="9">
        <v>2.8860999096851536</v>
      </c>
      <c r="P5" s="9">
        <v>25</v>
      </c>
      <c r="Q5" s="10">
        <v>363.69670969502783</v>
      </c>
    </row>
    <row r="6" spans="1:17">
      <c r="A6" s="18" t="s">
        <v>11</v>
      </c>
      <c r="B6" s="19">
        <v>54033.45</v>
      </c>
      <c r="C6" s="19">
        <v>155789.23000000001</v>
      </c>
      <c r="D6" s="19"/>
      <c r="E6" s="19">
        <v>36411.4</v>
      </c>
      <c r="F6" s="19">
        <v>246234.08</v>
      </c>
      <c r="H6" s="4">
        <f t="shared" si="0"/>
        <v>44562</v>
      </c>
      <c r="I6" s="8">
        <v>181.12202759373872</v>
      </c>
      <c r="J6" s="9">
        <v>145.50454197780346</v>
      </c>
      <c r="K6" s="9">
        <v>609.94336255050132</v>
      </c>
      <c r="L6" s="9">
        <v>161.24906902708923</v>
      </c>
      <c r="M6" s="9">
        <v>3.5077570051326963</v>
      </c>
      <c r="N6" s="9">
        <v>313.31183949279557</v>
      </c>
      <c r="O6" s="9">
        <v>5.3117604542432595</v>
      </c>
      <c r="P6" s="9">
        <v>23.774193548387096</v>
      </c>
      <c r="Q6" s="10">
        <v>363.60600960478621</v>
      </c>
    </row>
    <row r="7" spans="1:17">
      <c r="A7" s="18" t="s">
        <v>12</v>
      </c>
      <c r="B7" s="19">
        <v>911359.62000000011</v>
      </c>
      <c r="C7" s="19">
        <v>2206487.56</v>
      </c>
      <c r="D7" s="19"/>
      <c r="E7" s="19">
        <v>1847875.58</v>
      </c>
      <c r="F7" s="19">
        <v>4965722.76</v>
      </c>
      <c r="H7" s="4">
        <f t="shared" si="0"/>
        <v>44593</v>
      </c>
      <c r="I7" s="8">
        <v>175.85873406056174</v>
      </c>
      <c r="J7" s="9">
        <v>142.58647487356265</v>
      </c>
      <c r="K7" s="9">
        <v>587.53688130331147</v>
      </c>
      <c r="L7" s="9">
        <v>167.36554874372598</v>
      </c>
      <c r="M7" s="9">
        <v>4.3835881128254854</v>
      </c>
      <c r="N7" s="9">
        <v>322.67701493741998</v>
      </c>
      <c r="O7" s="9">
        <v>5.4429435734752607</v>
      </c>
      <c r="P7" s="9">
        <v>28.811688311688311</v>
      </c>
      <c r="Q7" s="10">
        <v>351.72944515935217</v>
      </c>
    </row>
    <row r="8" spans="1:17">
      <c r="A8" s="18" t="s">
        <v>13</v>
      </c>
      <c r="B8" s="19">
        <v>35988.490000000005</v>
      </c>
      <c r="C8" s="19">
        <v>102510.45000000001</v>
      </c>
      <c r="D8" s="19"/>
      <c r="E8" s="19">
        <v>110588.78</v>
      </c>
      <c r="F8" s="19">
        <v>249087.72</v>
      </c>
      <c r="H8" s="4">
        <f t="shared" si="0"/>
        <v>44621</v>
      </c>
      <c r="I8" s="8">
        <v>174.19667653624285</v>
      </c>
      <c r="J8" s="9">
        <v>141.85695241052196</v>
      </c>
      <c r="K8" s="9">
        <v>550.95684980274734</v>
      </c>
      <c r="L8" s="9">
        <v>186.01764655553484</v>
      </c>
      <c r="M8" s="9">
        <v>4.6690473277133417</v>
      </c>
      <c r="N8" s="9">
        <v>337.08057137651781</v>
      </c>
      <c r="O8" s="9">
        <v>3.4564661139337809</v>
      </c>
      <c r="P8" s="9">
        <v>30.780058651026387</v>
      </c>
      <c r="Q8" s="10">
        <v>357.94939020473959</v>
      </c>
    </row>
    <row r="9" spans="1:17">
      <c r="A9" s="18" t="s">
        <v>14</v>
      </c>
      <c r="B9" s="19"/>
      <c r="C9" s="19">
        <v>15230399.139999999</v>
      </c>
      <c r="D9" s="19"/>
      <c r="E9" s="19"/>
      <c r="F9" s="19">
        <v>15230399.139999999</v>
      </c>
      <c r="H9" s="4">
        <f t="shared" si="0"/>
        <v>44652</v>
      </c>
      <c r="I9" s="8">
        <v>230.81550694276865</v>
      </c>
      <c r="J9" s="9">
        <v>160.45398393370954</v>
      </c>
      <c r="K9" s="9">
        <v>637.55389098887872</v>
      </c>
      <c r="L9" s="9">
        <v>188.13971385711261</v>
      </c>
      <c r="M9" s="9">
        <v>0</v>
      </c>
      <c r="N9" s="9">
        <v>335.81149961909864</v>
      </c>
      <c r="O9" s="9">
        <v>19.090913333333337</v>
      </c>
      <c r="P9" s="9">
        <v>33.690909090909088</v>
      </c>
      <c r="Q9" s="10">
        <v>314.47944983724028</v>
      </c>
    </row>
    <row r="10" spans="1:17">
      <c r="H10" s="4">
        <f t="shared" si="0"/>
        <v>44682</v>
      </c>
      <c r="I10" s="8">
        <v>229.55837140836056</v>
      </c>
      <c r="J10" s="9">
        <v>163.07694017049741</v>
      </c>
      <c r="K10" s="9">
        <v>636.06955636475857</v>
      </c>
      <c r="L10" s="9">
        <v>189.35974854860245</v>
      </c>
      <c r="M10" s="9">
        <v>0.82352941176470584</v>
      </c>
      <c r="N10" s="9">
        <v>337.09907848710725</v>
      </c>
      <c r="O10" s="9">
        <v>9.1821999999999999</v>
      </c>
      <c r="P10" s="9">
        <v>33.750733137829911</v>
      </c>
      <c r="Q10" s="10">
        <v>318.20814563838968</v>
      </c>
    </row>
    <row r="11" spans="1:17">
      <c r="A11" s="40"/>
      <c r="B11" s="40" t="s">
        <v>1</v>
      </c>
      <c r="C11" s="40" t="s">
        <v>2</v>
      </c>
      <c r="D11" s="40" t="s">
        <v>3</v>
      </c>
      <c r="E11" s="40" t="s">
        <v>4</v>
      </c>
      <c r="F11" s="40" t="s">
        <v>5</v>
      </c>
      <c r="H11" s="4">
        <f t="shared" si="0"/>
        <v>44713</v>
      </c>
      <c r="I11" s="8">
        <v>229.23561769831264</v>
      </c>
      <c r="J11" s="9">
        <v>160.90987690577128</v>
      </c>
      <c r="K11" s="9">
        <v>631.30962457969895</v>
      </c>
      <c r="L11" s="9">
        <v>181.54289542692891</v>
      </c>
      <c r="M11" s="9">
        <v>1.6470588235294117</v>
      </c>
      <c r="N11" s="9">
        <v>338.30968471738697</v>
      </c>
      <c r="O11" s="9">
        <v>9.495138534200505</v>
      </c>
      <c r="P11" s="9">
        <v>33.536363636363632</v>
      </c>
      <c r="Q11" s="10">
        <v>321.7454753799845</v>
      </c>
    </row>
    <row r="12" spans="1:17">
      <c r="A12" s="40" t="s">
        <v>40</v>
      </c>
      <c r="B12" s="16">
        <f>SUM(Table1[Entitlements])</f>
        <v>5213169.24</v>
      </c>
      <c r="C12" s="16">
        <f>SUM(Table1[GR])</f>
        <v>26909270.509999998</v>
      </c>
      <c r="D12" s="16">
        <f>SUM(Table1[Other])</f>
        <v>0</v>
      </c>
      <c r="E12" s="16">
        <f>SUM(Table1[TANF])</f>
        <v>10201633.24</v>
      </c>
      <c r="F12" s="16">
        <f>SUM(Table1[Grand Total])</f>
        <v>42324072.989999995</v>
      </c>
      <c r="H12" s="4">
        <f t="shared" si="0"/>
        <v>44743</v>
      </c>
      <c r="I12" s="8">
        <v>228.08828852464046</v>
      </c>
      <c r="J12" s="9">
        <v>157.31682219796554</v>
      </c>
      <c r="K12" s="9">
        <v>631.83936260286032</v>
      </c>
      <c r="L12" s="9">
        <v>183.49528233792378</v>
      </c>
      <c r="M12" s="9">
        <v>2.4705882352941178</v>
      </c>
      <c r="N12" s="9">
        <v>339.44791980434371</v>
      </c>
      <c r="O12" s="9">
        <v>10.573617727714165</v>
      </c>
      <c r="P12" s="9">
        <v>32.853372434017594</v>
      </c>
      <c r="Q12" s="10">
        <v>323.9175258451063</v>
      </c>
    </row>
    <row r="13" spans="1:17" ht="14.25" thickBot="1">
      <c r="H13" s="11">
        <f t="shared" si="0"/>
        <v>44774</v>
      </c>
      <c r="I13" s="12">
        <v>227.1242727636033</v>
      </c>
      <c r="J13" s="13">
        <v>158.67204857519442</v>
      </c>
      <c r="K13" s="13">
        <v>634.94517373065207</v>
      </c>
      <c r="L13" s="13">
        <v>180.05868926452004</v>
      </c>
      <c r="M13" s="13">
        <v>3.2941176470588234</v>
      </c>
      <c r="N13" s="13">
        <v>340.51811016085657</v>
      </c>
      <c r="O13" s="13">
        <v>6.768009820001053</v>
      </c>
      <c r="P13" s="13">
        <v>32.903225806451609</v>
      </c>
      <c r="Q13" s="14">
        <v>323.52189575680399</v>
      </c>
    </row>
    <row r="14" spans="1:17" ht="14.25" thickBot="1"/>
    <row r="15" spans="1:17" ht="27.75" thickBot="1">
      <c r="H15" s="35" t="s">
        <v>31</v>
      </c>
      <c r="I15" s="2" t="s">
        <v>6</v>
      </c>
      <c r="J15" s="2" t="s">
        <v>7</v>
      </c>
      <c r="K15" s="2" t="s">
        <v>8</v>
      </c>
      <c r="L15" s="2" t="s">
        <v>9</v>
      </c>
      <c r="M15" s="2" t="s">
        <v>10</v>
      </c>
      <c r="N15" s="2" t="s">
        <v>23</v>
      </c>
      <c r="O15" s="2" t="s">
        <v>24</v>
      </c>
      <c r="P15" s="2" t="s">
        <v>13</v>
      </c>
      <c r="Q15" s="3" t="s">
        <v>25</v>
      </c>
    </row>
    <row r="16" spans="1:17" ht="14.25" thickBot="1">
      <c r="H16" s="28">
        <v>2022</v>
      </c>
      <c r="I16" s="36">
        <f>AVERAGE(I2:I4)</f>
        <v>244.74177881842593</v>
      </c>
      <c r="J16" s="37">
        <f t="shared" ref="J16:Q16" si="1">AVERAGE(J2:J4)</f>
        <v>174.4857898703921</v>
      </c>
      <c r="K16" s="37">
        <f t="shared" si="1"/>
        <v>663.18567855972572</v>
      </c>
      <c r="L16" s="37">
        <f t="shared" si="1"/>
        <v>193.37495283712181</v>
      </c>
      <c r="M16" s="37">
        <f t="shared" si="1"/>
        <v>0</v>
      </c>
      <c r="N16" s="37">
        <f t="shared" si="1"/>
        <v>357.50024744439935</v>
      </c>
      <c r="O16" s="37">
        <f t="shared" si="1"/>
        <v>6.4627446485524667</v>
      </c>
      <c r="P16" s="37">
        <f t="shared" si="1"/>
        <v>22.244086021505378</v>
      </c>
      <c r="Q16" s="38">
        <f t="shared" si="1"/>
        <v>333.08173278572525</v>
      </c>
    </row>
    <row r="18" spans="9:17">
      <c r="I18" s="39"/>
      <c r="J18" s="39"/>
      <c r="K18" s="39"/>
      <c r="L18" s="39"/>
      <c r="M18" s="39"/>
      <c r="N18" s="39"/>
      <c r="O18" s="39"/>
      <c r="P18" s="39"/>
      <c r="Q18" s="3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79E32-90EB-46E7-95C7-57626474805F}">
  <dimension ref="A1:AK37"/>
  <sheetViews>
    <sheetView zoomScale="82" zoomScaleNormal="100" workbookViewId="0">
      <selection activeCell="N34" sqref="N34"/>
    </sheetView>
  </sheetViews>
  <sheetFormatPr defaultColWidth="8.796875" defaultRowHeight="13.5"/>
  <cols>
    <col min="1" max="1" width="15.296875" style="15" customWidth="1"/>
    <col min="2" max="3" width="13" style="15" customWidth="1"/>
    <col min="4" max="4" width="12.69921875" style="15" customWidth="1"/>
    <col min="5" max="6" width="14.19921875" style="15" bestFit="1" customWidth="1"/>
    <col min="7" max="7" width="11.796875" style="15" customWidth="1"/>
    <col min="8" max="8" width="8.796875" style="15"/>
    <col min="9" max="9" width="19.296875" style="15" bestFit="1" customWidth="1"/>
    <col min="10" max="10" width="8.796875" style="15"/>
    <col min="11" max="11" width="9.5" style="15" bestFit="1" customWidth="1"/>
    <col min="12" max="19" width="10.69921875" style="15" customWidth="1"/>
    <col min="20" max="20" width="8.796875" style="15"/>
    <col min="21" max="21" width="9.5" style="15" bestFit="1" customWidth="1"/>
    <col min="22" max="16384" width="8.796875" style="15"/>
  </cols>
  <sheetData>
    <row r="1" spans="1:37">
      <c r="A1" s="17" t="s">
        <v>15</v>
      </c>
      <c r="B1" s="17" t="s">
        <v>0</v>
      </c>
      <c r="C1" s="17" t="s">
        <v>28</v>
      </c>
      <c r="D1" s="17" t="s">
        <v>1</v>
      </c>
      <c r="E1" s="17" t="s">
        <v>2</v>
      </c>
      <c r="F1" s="17" t="s">
        <v>4</v>
      </c>
      <c r="G1" s="17" t="s">
        <v>5</v>
      </c>
      <c r="H1" s="17" t="s">
        <v>26</v>
      </c>
      <c r="I1" s="17" t="s">
        <v>39</v>
      </c>
      <c r="K1" s="20"/>
      <c r="L1" s="67">
        <v>1</v>
      </c>
      <c r="M1" s="67"/>
      <c r="N1" s="67">
        <v>2</v>
      </c>
      <c r="O1" s="67"/>
      <c r="P1" s="67" t="s">
        <v>20</v>
      </c>
      <c r="Q1" s="67"/>
      <c r="R1" s="67" t="s">
        <v>42</v>
      </c>
      <c r="S1" s="68"/>
      <c r="U1" s="20"/>
      <c r="V1" s="67">
        <v>1</v>
      </c>
      <c r="W1" s="67"/>
      <c r="X1" s="67"/>
      <c r="Y1" s="67"/>
      <c r="Z1" s="67">
        <v>2</v>
      </c>
      <c r="AA1" s="67"/>
      <c r="AB1" s="67"/>
      <c r="AC1" s="67"/>
      <c r="AD1" s="67" t="s">
        <v>20</v>
      </c>
      <c r="AE1" s="67"/>
      <c r="AF1" s="67"/>
      <c r="AG1" s="67"/>
      <c r="AH1" s="67" t="s">
        <v>42</v>
      </c>
      <c r="AI1" s="67"/>
      <c r="AJ1" s="67"/>
      <c r="AK1" s="68"/>
    </row>
    <row r="2" spans="1:37" ht="14.25" thickBot="1">
      <c r="A2" s="18" t="s">
        <v>16</v>
      </c>
      <c r="B2" s="18" t="s">
        <v>17</v>
      </c>
      <c r="C2" s="18" t="s">
        <v>29</v>
      </c>
      <c r="D2" s="19">
        <v>2085682.82</v>
      </c>
      <c r="E2" s="19">
        <v>1305932.5099999998</v>
      </c>
      <c r="F2" s="19">
        <v>119162.35</v>
      </c>
      <c r="G2" s="19">
        <v>3510777.68</v>
      </c>
      <c r="H2" s="47" t="str">
        <f>IF(Table2[[#This Row],[PAC]]="26300","IV-E","Non IV-E")</f>
        <v>IV-E</v>
      </c>
      <c r="I2" s="47" t="str">
        <f>_xlfn.CONCAT(Table2[[#This Row],[Catchment Area]],Table2[[#This Row],[Level of Care]],Table2[[#This Row],[IV-E]])</f>
        <v>1BlendedIV-E</v>
      </c>
      <c r="K2" s="21" t="s">
        <v>22</v>
      </c>
      <c r="L2" s="22" t="s">
        <v>17</v>
      </c>
      <c r="M2" s="22" t="s">
        <v>18</v>
      </c>
      <c r="N2" s="22" t="s">
        <v>17</v>
      </c>
      <c r="O2" s="22" t="s">
        <v>18</v>
      </c>
      <c r="P2" s="22" t="s">
        <v>17</v>
      </c>
      <c r="Q2" s="22" t="s">
        <v>18</v>
      </c>
      <c r="R2" s="22" t="s">
        <v>17</v>
      </c>
      <c r="S2" s="23" t="s">
        <v>18</v>
      </c>
      <c r="U2" s="24"/>
      <c r="V2" s="70" t="s">
        <v>17</v>
      </c>
      <c r="W2" s="70"/>
      <c r="X2" s="70" t="s">
        <v>18</v>
      </c>
      <c r="Y2" s="70"/>
      <c r="Z2" s="70" t="s">
        <v>17</v>
      </c>
      <c r="AA2" s="70"/>
      <c r="AB2" s="70" t="s">
        <v>18</v>
      </c>
      <c r="AC2" s="70"/>
      <c r="AD2" s="70" t="s">
        <v>17</v>
      </c>
      <c r="AE2" s="70"/>
      <c r="AF2" s="70" t="s">
        <v>18</v>
      </c>
      <c r="AG2" s="70"/>
      <c r="AH2" s="70" t="s">
        <v>17</v>
      </c>
      <c r="AI2" s="70"/>
      <c r="AJ2" s="70" t="s">
        <v>18</v>
      </c>
      <c r="AK2" s="71"/>
    </row>
    <row r="3" spans="1:37">
      <c r="A3" s="18" t="s">
        <v>16</v>
      </c>
      <c r="B3" s="18" t="s">
        <v>17</v>
      </c>
      <c r="C3" s="18" t="s">
        <v>30</v>
      </c>
      <c r="D3" s="19"/>
      <c r="E3" s="19">
        <v>1343400.31</v>
      </c>
      <c r="F3" s="19">
        <v>1965005.6500000001</v>
      </c>
      <c r="G3" s="19">
        <v>3308405.96</v>
      </c>
      <c r="H3" s="47" t="str">
        <f>IF(Table2[[#This Row],[PAC]]="26300","IV-E","Non IV-E")</f>
        <v>Non IV-E</v>
      </c>
      <c r="I3" s="47" t="str">
        <f>_xlfn.CONCAT(Table2[[#This Row],[Catchment Area]],Table2[[#This Row],[Level of Care]],Table2[[#This Row],[IV-E]])</f>
        <v>1BlendedNon IV-E</v>
      </c>
      <c r="K3" s="4">
        <v>44440</v>
      </c>
      <c r="L3" s="5">
        <v>0.6333333333333333</v>
      </c>
      <c r="M3" s="6">
        <v>54.242820000000002</v>
      </c>
      <c r="N3" s="6">
        <v>1.8</v>
      </c>
      <c r="O3" s="6">
        <v>27.517969999999998</v>
      </c>
      <c r="P3" s="6">
        <v>190.11104333333333</v>
      </c>
      <c r="Q3" s="6">
        <v>62.250050000000002</v>
      </c>
      <c r="R3" s="6">
        <v>0</v>
      </c>
      <c r="S3" s="7">
        <v>0</v>
      </c>
      <c r="U3" s="25" t="s">
        <v>31</v>
      </c>
      <c r="V3" s="26" t="s">
        <v>26</v>
      </c>
      <c r="W3" s="26" t="s">
        <v>27</v>
      </c>
      <c r="X3" s="26" t="s">
        <v>26</v>
      </c>
      <c r="Y3" s="26" t="s">
        <v>27</v>
      </c>
      <c r="Z3" s="26" t="s">
        <v>26</v>
      </c>
      <c r="AA3" s="26" t="s">
        <v>27</v>
      </c>
      <c r="AB3" s="26" t="s">
        <v>26</v>
      </c>
      <c r="AC3" s="26" t="s">
        <v>27</v>
      </c>
      <c r="AD3" s="26" t="s">
        <v>26</v>
      </c>
      <c r="AE3" s="26" t="s">
        <v>27</v>
      </c>
      <c r="AF3" s="26" t="s">
        <v>26</v>
      </c>
      <c r="AG3" s="26" t="s">
        <v>27</v>
      </c>
      <c r="AH3" s="26" t="s">
        <v>26</v>
      </c>
      <c r="AI3" s="26" t="s">
        <v>27</v>
      </c>
      <c r="AJ3" s="26" t="s">
        <v>26</v>
      </c>
      <c r="AK3" s="27" t="s">
        <v>27</v>
      </c>
    </row>
    <row r="4" spans="1:37" ht="14.25" thickBot="1">
      <c r="A4" s="18" t="s">
        <v>16</v>
      </c>
      <c r="B4" s="18" t="s">
        <v>18</v>
      </c>
      <c r="C4" s="18" t="s">
        <v>29</v>
      </c>
      <c r="D4" s="19">
        <v>765774.76</v>
      </c>
      <c r="E4" s="19">
        <v>432259.41</v>
      </c>
      <c r="F4" s="19">
        <v>157703.34999999998</v>
      </c>
      <c r="G4" s="19">
        <v>1355737.52</v>
      </c>
      <c r="H4" s="47" t="str">
        <f>IF(Table2[[#This Row],[PAC]]="26300","IV-E","Non IV-E")</f>
        <v>IV-E</v>
      </c>
      <c r="I4" s="47" t="str">
        <f>_xlfn.CONCAT(Table2[[#This Row],[Catchment Area]],Table2[[#This Row],[Level of Care]],Table2[[#This Row],[IV-E]])</f>
        <v>1ExceptionalIV-E</v>
      </c>
      <c r="K4" s="4">
        <f>EDATE(K3,1)</f>
        <v>44470</v>
      </c>
      <c r="L4" s="8">
        <v>225.7009677419355</v>
      </c>
      <c r="M4" s="9">
        <v>60.066961290322581</v>
      </c>
      <c r="N4" s="9">
        <v>115.81467096774193</v>
      </c>
      <c r="O4" s="9">
        <v>25.709974193548383</v>
      </c>
      <c r="P4" s="9">
        <v>182.03624516129034</v>
      </c>
      <c r="Q4" s="9">
        <v>82.714429032258067</v>
      </c>
      <c r="R4" s="9">
        <v>2.290322580645161</v>
      </c>
      <c r="S4" s="10">
        <v>0</v>
      </c>
      <c r="U4" s="25"/>
      <c r="V4" s="26" t="str">
        <f>_xlfn.CONCAT(V1,V2,V3)</f>
        <v>1BlendedIV-E</v>
      </c>
      <c r="W4" s="26" t="str">
        <f>_xlfn.CONCAT(V1,V2,W3)</f>
        <v>1BlendedNon IV-E</v>
      </c>
      <c r="X4" s="26" t="str">
        <f>_xlfn.CONCAT(V1,X2,X3)</f>
        <v>1ExceptionalIV-E</v>
      </c>
      <c r="Y4" s="26" t="str">
        <f>_xlfn.CONCAT(V1,X2,Y3)</f>
        <v>1ExceptionalNon IV-E</v>
      </c>
      <c r="Z4" s="26" t="str">
        <f>_xlfn.CONCAT(Z1,Z2,Z3)</f>
        <v>2BlendedIV-E</v>
      </c>
      <c r="AA4" s="26" t="str">
        <f>_xlfn.CONCAT(Z1,Z2,AA3)</f>
        <v>2BlendedNon IV-E</v>
      </c>
      <c r="AB4" s="26" t="str">
        <f>_xlfn.CONCAT(Z1,AB2,AB3)</f>
        <v>2ExceptionalIV-E</v>
      </c>
      <c r="AC4" s="26" t="str">
        <f>_xlfn.CONCAT(Z1,AB2,AC3)</f>
        <v>2ExceptionalNon IV-E</v>
      </c>
      <c r="AD4" s="26" t="str">
        <f>_xlfn.CONCAT(AD1,AD2,AD3)</f>
        <v>3BBlendedIV-E</v>
      </c>
      <c r="AE4" s="26" t="str">
        <f>_xlfn.CONCAT(AD1,AD2,AE3)</f>
        <v>3BBlendedNon IV-E</v>
      </c>
      <c r="AF4" s="26" t="str">
        <f>_xlfn.CONCAT(AD1,AF2,AF3)</f>
        <v>3BExceptionalIV-E</v>
      </c>
      <c r="AG4" s="26" t="str">
        <f>_xlfn.CONCAT(AD1,AF2,AG3)</f>
        <v>3BExceptionalNon IV-E</v>
      </c>
      <c r="AH4" s="26" t="str">
        <f>_xlfn.CONCAT(AH1,AH2,AH3)</f>
        <v>8BBlendedIV-E</v>
      </c>
      <c r="AI4" s="26" t="str">
        <f>_xlfn.CONCAT(AH1,AH2,AI3)</f>
        <v>8BBlendedNon IV-E</v>
      </c>
      <c r="AJ4" s="26" t="str">
        <f>_xlfn.CONCAT(AH1,AJ2,AJ3)</f>
        <v>8BExceptionalIV-E</v>
      </c>
      <c r="AK4" s="27" t="str">
        <f>_xlfn.CONCAT(AH1,AJ2,AK3)</f>
        <v>8BExceptionalNon IV-E</v>
      </c>
    </row>
    <row r="5" spans="1:37" ht="14.25" thickBot="1">
      <c r="A5" s="18" t="s">
        <v>16</v>
      </c>
      <c r="B5" s="18" t="s">
        <v>18</v>
      </c>
      <c r="C5" s="18" t="s">
        <v>30</v>
      </c>
      <c r="D5" s="19"/>
      <c r="E5" s="19">
        <v>1685893.79</v>
      </c>
      <c r="F5" s="19">
        <v>902100.72</v>
      </c>
      <c r="G5" s="19">
        <v>2587994.5099999998</v>
      </c>
      <c r="H5" s="47" t="str">
        <f>IF(Table2[[#This Row],[PAC]]="26300","IV-E","Non IV-E")</f>
        <v>Non IV-E</v>
      </c>
      <c r="I5" s="47" t="str">
        <f>_xlfn.CONCAT(Table2[[#This Row],[Catchment Area]],Table2[[#This Row],[Level of Care]],Table2[[#This Row],[IV-E]])</f>
        <v>1ExceptionalNon IV-E</v>
      </c>
      <c r="K5" s="4">
        <f t="shared" ref="K5:K14" si="0">EDATE(K4,1)</f>
        <v>44501</v>
      </c>
      <c r="L5" s="8">
        <v>223.00232666666665</v>
      </c>
      <c r="M5" s="9">
        <v>58.093093333333329</v>
      </c>
      <c r="N5" s="9">
        <v>110.00175333333334</v>
      </c>
      <c r="O5" s="9">
        <v>28.794550000000001</v>
      </c>
      <c r="P5" s="9">
        <v>169.67991333333333</v>
      </c>
      <c r="Q5" s="9">
        <v>85.582969999999989</v>
      </c>
      <c r="R5" s="9">
        <v>22.003519999999998</v>
      </c>
      <c r="S5" s="10">
        <v>0.46666666666666667</v>
      </c>
      <c r="U5" s="28">
        <v>2022</v>
      </c>
      <c r="V5" s="29">
        <v>0.15839137404580153</v>
      </c>
      <c r="W5" s="30">
        <v>0.36655590321003023</v>
      </c>
      <c r="X5" s="30">
        <v>0.46363925055573196</v>
      </c>
      <c r="Y5" s="30">
        <v>0.81927546007361163</v>
      </c>
      <c r="Z5" s="30">
        <v>8.5390936874708778E-2</v>
      </c>
      <c r="AA5" s="30">
        <v>0.27067570819372527</v>
      </c>
      <c r="AB5" s="30">
        <v>0.37684438202247195</v>
      </c>
      <c r="AC5" s="30">
        <v>0.94173152315417508</v>
      </c>
      <c r="AD5" s="30">
        <v>0.10738415489095206</v>
      </c>
      <c r="AE5" s="30">
        <v>0.2430017313642448</v>
      </c>
      <c r="AF5" s="30">
        <v>1.5346645161290322</v>
      </c>
      <c r="AG5" s="30">
        <v>2.0716107449209926</v>
      </c>
      <c r="AH5" s="30">
        <v>7.8591564859299926E-2</v>
      </c>
      <c r="AI5" s="30">
        <v>0.46386802178281256</v>
      </c>
      <c r="AJ5" s="30">
        <v>1.3068181818181819</v>
      </c>
      <c r="AK5" s="31">
        <v>1.6078009589041096</v>
      </c>
    </row>
    <row r="6" spans="1:37">
      <c r="A6" s="18" t="s">
        <v>19</v>
      </c>
      <c r="B6" s="18" t="s">
        <v>17</v>
      </c>
      <c r="C6" s="18" t="s">
        <v>29</v>
      </c>
      <c r="D6" s="19">
        <v>1822740.48</v>
      </c>
      <c r="E6" s="19">
        <v>1125659.75</v>
      </c>
      <c r="F6" s="19">
        <v>119773.28</v>
      </c>
      <c r="G6" s="19">
        <v>3068173.51</v>
      </c>
      <c r="H6" s="47" t="str">
        <f>IF(Table2[[#This Row],[PAC]]="26300","IV-E","Non IV-E")</f>
        <v>IV-E</v>
      </c>
      <c r="I6" s="47" t="str">
        <f>_xlfn.CONCAT(Table2[[#This Row],[Catchment Area]],Table2[[#This Row],[Level of Care]],Table2[[#This Row],[IV-E]])</f>
        <v>2BlendedIV-E</v>
      </c>
      <c r="K6" s="4">
        <f t="shared" si="0"/>
        <v>44531</v>
      </c>
      <c r="L6" s="8">
        <v>225.87117741935481</v>
      </c>
      <c r="M6" s="9">
        <v>53.174554838709682</v>
      </c>
      <c r="N6" s="9">
        <v>111.34385161290322</v>
      </c>
      <c r="O6" s="9">
        <v>29.549503225806451</v>
      </c>
      <c r="P6" s="9">
        <v>166.09957096774195</v>
      </c>
      <c r="Q6" s="9">
        <v>88.075690322580641</v>
      </c>
      <c r="R6" s="9">
        <v>82.539812903225808</v>
      </c>
      <c r="S6" s="10">
        <v>1.064516129032258</v>
      </c>
    </row>
    <row r="7" spans="1:37" ht="15.75">
      <c r="A7" s="18" t="s">
        <v>19</v>
      </c>
      <c r="B7" s="18" t="s">
        <v>17</v>
      </c>
      <c r="C7" s="18" t="s">
        <v>30</v>
      </c>
      <c r="D7" s="19"/>
      <c r="E7" s="19">
        <v>760187.05999999994</v>
      </c>
      <c r="F7" s="19">
        <v>1729145.8599999999</v>
      </c>
      <c r="G7" s="19">
        <v>2489332.92</v>
      </c>
      <c r="H7" s="47" t="str">
        <f>IF(Table2[[#This Row],[PAC]]="26300","IV-E","Non IV-E")</f>
        <v>Non IV-E</v>
      </c>
      <c r="I7" s="47" t="str">
        <f>_xlfn.CONCAT(Table2[[#This Row],[Catchment Area]],Table2[[#This Row],[Level of Care]],Table2[[#This Row],[IV-E]])</f>
        <v>2BlendedNon IV-E</v>
      </c>
      <c r="K7" s="4">
        <f t="shared" si="0"/>
        <v>44562</v>
      </c>
      <c r="L7" s="8">
        <v>211.83691612903226</v>
      </c>
      <c r="M7" s="9">
        <v>50.332448387096775</v>
      </c>
      <c r="N7" s="9">
        <v>115.07204838709679</v>
      </c>
      <c r="O7" s="9">
        <v>25.707709677419356</v>
      </c>
      <c r="P7" s="9">
        <v>170.00054516129032</v>
      </c>
      <c r="Q7" s="9">
        <v>77.743606451612891</v>
      </c>
      <c r="R7" s="9">
        <v>111.56418064516129</v>
      </c>
      <c r="S7" s="10">
        <v>2.967741935483871</v>
      </c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5.75">
      <c r="A8" s="18" t="s">
        <v>19</v>
      </c>
      <c r="B8" s="18" t="s">
        <v>18</v>
      </c>
      <c r="C8" s="18" t="s">
        <v>29</v>
      </c>
      <c r="D8" s="19">
        <v>291429.21000000002</v>
      </c>
      <c r="E8" s="19">
        <v>157439.44000000003</v>
      </c>
      <c r="F8" s="19">
        <v>67081.27</v>
      </c>
      <c r="G8" s="19">
        <v>515949.92000000004</v>
      </c>
      <c r="H8" s="47" t="str">
        <f>IF(Table2[[#This Row],[PAC]]="26300","IV-E","Non IV-E")</f>
        <v>IV-E</v>
      </c>
      <c r="I8" s="47" t="str">
        <f>_xlfn.CONCAT(Table2[[#This Row],[Catchment Area]],Table2[[#This Row],[Level of Care]],Table2[[#This Row],[IV-E]])</f>
        <v>2ExceptionalIV-E</v>
      </c>
      <c r="K8" s="4">
        <f t="shared" si="0"/>
        <v>44593</v>
      </c>
      <c r="L8" s="8">
        <v>203.83536428571429</v>
      </c>
      <c r="M8" s="9">
        <v>53.26435</v>
      </c>
      <c r="N8" s="9">
        <v>108.44262499999999</v>
      </c>
      <c r="O8" s="9">
        <v>22.354964285714285</v>
      </c>
      <c r="P8" s="9">
        <v>174.18978928571428</v>
      </c>
      <c r="Q8" s="9">
        <v>68.602424999999997</v>
      </c>
      <c r="R8" s="9">
        <v>119.05989285714286</v>
      </c>
      <c r="S8" s="10">
        <v>9.4329964285714283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5.75">
      <c r="A9" s="18" t="s">
        <v>19</v>
      </c>
      <c r="B9" s="18" t="s">
        <v>18</v>
      </c>
      <c r="C9" s="18" t="s">
        <v>30</v>
      </c>
      <c r="D9" s="19"/>
      <c r="E9" s="19">
        <v>311187.53999999998</v>
      </c>
      <c r="F9" s="19">
        <v>734197.12000000011</v>
      </c>
      <c r="G9" s="19">
        <v>1045384.6600000001</v>
      </c>
      <c r="H9" s="47" t="str">
        <f>IF(Table2[[#This Row],[PAC]]="26300","IV-E","Non IV-E")</f>
        <v>Non IV-E</v>
      </c>
      <c r="I9" s="47" t="str">
        <f>_xlfn.CONCAT(Table2[[#This Row],[Catchment Area]],Table2[[#This Row],[Level of Care]],Table2[[#This Row],[IV-E]])</f>
        <v>2ExceptionalNon IV-E</v>
      </c>
      <c r="K9" s="4">
        <f t="shared" si="0"/>
        <v>44621</v>
      </c>
      <c r="L9" s="8">
        <v>213.23661935483872</v>
      </c>
      <c r="M9" s="9">
        <v>53.680335483870962</v>
      </c>
      <c r="N9" s="9">
        <v>109.04430000000001</v>
      </c>
      <c r="O9" s="9">
        <v>17.43380322580645</v>
      </c>
      <c r="P9" s="9">
        <v>197.2954387096774</v>
      </c>
      <c r="Q9" s="9">
        <v>49.077993548387099</v>
      </c>
      <c r="R9" s="9">
        <v>128.88975161290321</v>
      </c>
      <c r="S9" s="10">
        <v>15.39630322580645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5.75">
      <c r="A10" s="18" t="s">
        <v>20</v>
      </c>
      <c r="B10" s="18" t="s">
        <v>17</v>
      </c>
      <c r="C10" s="18" t="s">
        <v>29</v>
      </c>
      <c r="D10" s="19">
        <v>2514840.6500000004</v>
      </c>
      <c r="E10" s="19">
        <v>1556132.0399999998</v>
      </c>
      <c r="F10" s="19">
        <v>162195.63</v>
      </c>
      <c r="G10" s="19">
        <v>4233168.32</v>
      </c>
      <c r="H10" s="47" t="str">
        <f>IF(Table2[[#This Row],[PAC]]="26300","IV-E","Non IV-E")</f>
        <v>IV-E</v>
      </c>
      <c r="I10" s="47" t="str">
        <f>_xlfn.CONCAT(Table2[[#This Row],[Catchment Area]],Table2[[#This Row],[Level of Care]],Table2[[#This Row],[IV-E]])</f>
        <v>3BBlendedIV-E</v>
      </c>
      <c r="K10" s="4">
        <f t="shared" si="0"/>
        <v>44652</v>
      </c>
      <c r="L10" s="8">
        <v>215.26218333333333</v>
      </c>
      <c r="M10" s="9">
        <v>52.098073333333332</v>
      </c>
      <c r="N10" s="9">
        <v>120.7745</v>
      </c>
      <c r="O10" s="9">
        <v>16.762823333333333</v>
      </c>
      <c r="P10" s="9">
        <v>204.67426666666668</v>
      </c>
      <c r="Q10" s="9">
        <v>31.44528</v>
      </c>
      <c r="R10" s="9">
        <v>138.04445000000001</v>
      </c>
      <c r="S10" s="10">
        <v>13.609513333333332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>
      <c r="A11" s="18" t="s">
        <v>20</v>
      </c>
      <c r="B11" s="18" t="s">
        <v>17</v>
      </c>
      <c r="C11" s="18" t="s">
        <v>30</v>
      </c>
      <c r="D11" s="19"/>
      <c r="E11" s="19">
        <v>2284434.4299999997</v>
      </c>
      <c r="F11" s="19">
        <v>3126199.8600000003</v>
      </c>
      <c r="G11" s="19">
        <v>5410634.29</v>
      </c>
      <c r="H11" s="47" t="str">
        <f>IF(Table2[[#This Row],[PAC]]="26300","IV-E","Non IV-E")</f>
        <v>Non IV-E</v>
      </c>
      <c r="I11" s="47" t="str">
        <f>_xlfn.CONCAT(Table2[[#This Row],[Catchment Area]],Table2[[#This Row],[Level of Care]],Table2[[#This Row],[IV-E]])</f>
        <v>3BBlendedNon IV-E</v>
      </c>
      <c r="K11" s="4">
        <f t="shared" si="0"/>
        <v>44682</v>
      </c>
      <c r="L11" s="8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10">
        <v>0</v>
      </c>
    </row>
    <row r="12" spans="1:37">
      <c r="A12" s="18" t="s">
        <v>20</v>
      </c>
      <c r="B12" s="18" t="s">
        <v>18</v>
      </c>
      <c r="C12" s="18" t="s">
        <v>29</v>
      </c>
      <c r="D12" s="19">
        <v>353234.21</v>
      </c>
      <c r="E12" s="19">
        <v>203789.46</v>
      </c>
      <c r="F12" s="19">
        <v>68346.73000000001</v>
      </c>
      <c r="G12" s="19">
        <v>625370.4</v>
      </c>
      <c r="H12" s="47" t="str">
        <f>IF(Table2[[#This Row],[PAC]]="26300","IV-E","Non IV-E")</f>
        <v>IV-E</v>
      </c>
      <c r="I12" s="47" t="str">
        <f>_xlfn.CONCAT(Table2[[#This Row],[Catchment Area]],Table2[[#This Row],[Level of Care]],Table2[[#This Row],[IV-E]])</f>
        <v>3BExceptionalIV-E</v>
      </c>
      <c r="K12" s="4">
        <f t="shared" si="0"/>
        <v>44713</v>
      </c>
      <c r="L12" s="8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9">
        <v>0</v>
      </c>
      <c r="S12" s="10">
        <v>0</v>
      </c>
    </row>
    <row r="13" spans="1:37">
      <c r="A13" s="18" t="s">
        <v>20</v>
      </c>
      <c r="B13" s="18" t="s">
        <v>18</v>
      </c>
      <c r="C13" s="18" t="s">
        <v>30</v>
      </c>
      <c r="D13" s="19"/>
      <c r="E13" s="19">
        <v>1269193.1199999999</v>
      </c>
      <c r="F13" s="19">
        <v>955206.32</v>
      </c>
      <c r="G13" s="19">
        <v>2224399.44</v>
      </c>
      <c r="H13" s="47" t="str">
        <f>IF(Table2[[#This Row],[PAC]]="26300","IV-E","Non IV-E")</f>
        <v>Non IV-E</v>
      </c>
      <c r="I13" s="47" t="str">
        <f>_xlfn.CONCAT(Table2[[#This Row],[Catchment Area]],Table2[[#This Row],[Level of Care]],Table2[[#This Row],[IV-E]])</f>
        <v>3BExceptionalNon IV-E</v>
      </c>
      <c r="K13" s="4">
        <f t="shared" si="0"/>
        <v>44743</v>
      </c>
      <c r="L13" s="8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10">
        <v>0</v>
      </c>
    </row>
    <row r="14" spans="1:37" ht="14.25" thickBot="1">
      <c r="A14" s="18" t="s">
        <v>42</v>
      </c>
      <c r="B14" s="18" t="s">
        <v>17</v>
      </c>
      <c r="C14" s="18" t="s">
        <v>29</v>
      </c>
      <c r="D14" s="19">
        <v>195881.97999999995</v>
      </c>
      <c r="E14" s="19">
        <v>120865.71</v>
      </c>
      <c r="F14" s="19">
        <v>12975.58</v>
      </c>
      <c r="G14" s="19">
        <v>329723.26999999996</v>
      </c>
      <c r="H14" s="47" t="str">
        <f>IF(Table2[[#This Row],[PAC]]="26300","IV-E","Non IV-E")</f>
        <v>IV-E</v>
      </c>
      <c r="I14" s="47" t="str">
        <f>_xlfn.CONCAT(Table2[[#This Row],[Catchment Area]],Table2[[#This Row],[Level of Care]],Table2[[#This Row],[IV-E]])</f>
        <v>8BBlendedIV-E</v>
      </c>
      <c r="K14" s="11">
        <f t="shared" si="0"/>
        <v>44774</v>
      </c>
      <c r="L14" s="12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4">
        <v>0</v>
      </c>
    </row>
    <row r="15" spans="1:37" ht="14.25" thickBot="1">
      <c r="A15" s="18" t="s">
        <v>42</v>
      </c>
      <c r="B15" s="18" t="s">
        <v>17</v>
      </c>
      <c r="C15" s="18" t="s">
        <v>30</v>
      </c>
      <c r="D15" s="19"/>
      <c r="E15" s="19">
        <v>122021.52</v>
      </c>
      <c r="F15" s="19">
        <v>178780.28999999998</v>
      </c>
      <c r="G15" s="19">
        <v>300801.81</v>
      </c>
      <c r="H15" s="47" t="str">
        <f>IF(Table2[[#This Row],[PAC]]="26300","IV-E","Non IV-E")</f>
        <v>Non IV-E</v>
      </c>
      <c r="I15" s="47" t="str">
        <f>_xlfn.CONCAT(Table2[[#This Row],[Catchment Area]],Table2[[#This Row],[Level of Care]],Table2[[#This Row],[IV-E]])</f>
        <v>8BBlendedNon IV-E</v>
      </c>
    </row>
    <row r="16" spans="1:37">
      <c r="A16" s="18" t="s">
        <v>42</v>
      </c>
      <c r="B16" s="18" t="s">
        <v>18</v>
      </c>
      <c r="C16" s="18" t="s">
        <v>30</v>
      </c>
      <c r="D16" s="19"/>
      <c r="E16" s="19">
        <v>6424.88</v>
      </c>
      <c r="F16" s="19"/>
      <c r="G16" s="19">
        <v>6424.88</v>
      </c>
      <c r="H16" s="47" t="str">
        <f>IF(Table2[[#This Row],[PAC]]="26300","IV-E","Non IV-E")</f>
        <v>Non IV-E</v>
      </c>
      <c r="I16" s="47" t="str">
        <f>_xlfn.CONCAT(Table2[[#This Row],[Catchment Area]],Table2[[#This Row],[Level of Care]],Table2[[#This Row],[IV-E]])</f>
        <v>8BExceptionalNon IV-E</v>
      </c>
      <c r="K16" s="20"/>
      <c r="L16" s="67">
        <v>1</v>
      </c>
      <c r="M16" s="67"/>
      <c r="N16" s="67">
        <v>2</v>
      </c>
      <c r="O16" s="67"/>
      <c r="P16" s="67" t="s">
        <v>20</v>
      </c>
      <c r="Q16" s="67"/>
      <c r="R16" s="67" t="s">
        <v>42</v>
      </c>
      <c r="S16" s="68"/>
    </row>
    <row r="17" spans="1:19" ht="14.25" thickBot="1">
      <c r="K17" s="25" t="s">
        <v>31</v>
      </c>
      <c r="L17" s="22" t="s">
        <v>17</v>
      </c>
      <c r="M17" s="22" t="s">
        <v>18</v>
      </c>
      <c r="N17" s="22" t="s">
        <v>17</v>
      </c>
      <c r="O17" s="22" t="s">
        <v>18</v>
      </c>
      <c r="P17" s="22" t="s">
        <v>17</v>
      </c>
      <c r="Q17" s="22" t="s">
        <v>18</v>
      </c>
      <c r="R17" s="22" t="s">
        <v>17</v>
      </c>
      <c r="S17" s="23" t="s">
        <v>18</v>
      </c>
    </row>
    <row r="18" spans="1:19" ht="14.25" thickBot="1">
      <c r="A18" s="17" t="s">
        <v>15</v>
      </c>
      <c r="B18" s="17" t="s">
        <v>0</v>
      </c>
      <c r="C18" s="17" t="s">
        <v>28</v>
      </c>
      <c r="D18" s="17" t="s">
        <v>1</v>
      </c>
      <c r="E18" s="17" t="s">
        <v>2</v>
      </c>
      <c r="F18" s="17" t="s">
        <v>4</v>
      </c>
      <c r="G18" s="17" t="s">
        <v>5</v>
      </c>
      <c r="H18" s="17" t="s">
        <v>26</v>
      </c>
      <c r="I18" s="17" t="s">
        <v>39</v>
      </c>
      <c r="K18" s="28">
        <v>2022</v>
      </c>
      <c r="L18" s="32">
        <f>AVERAGE(L3:L5)</f>
        <v>149.77887591397848</v>
      </c>
      <c r="M18" s="33">
        <f t="shared" ref="M18:S18" si="1">AVERAGE(M3:M5)</f>
        <v>57.467624874551973</v>
      </c>
      <c r="N18" s="33">
        <f t="shared" si="1"/>
        <v>75.872141433691752</v>
      </c>
      <c r="O18" s="33">
        <f t="shared" si="1"/>
        <v>27.34083139784946</v>
      </c>
      <c r="P18" s="33">
        <f t="shared" si="1"/>
        <v>180.60906727598567</v>
      </c>
      <c r="Q18" s="33">
        <f t="shared" si="1"/>
        <v>76.849149677419348</v>
      </c>
      <c r="R18" s="33">
        <f t="shared" si="1"/>
        <v>8.09794752688172</v>
      </c>
      <c r="S18" s="34">
        <f t="shared" si="1"/>
        <v>0.15555555555555556</v>
      </c>
    </row>
    <row r="19" spans="1:19">
      <c r="A19" s="18">
        <v>1</v>
      </c>
      <c r="B19" s="18" t="s">
        <v>17</v>
      </c>
      <c r="C19" s="18" t="s">
        <v>29</v>
      </c>
      <c r="D19" s="47">
        <f>IFERROR(INDEX(Table2[Entitlements],MATCH(Table24[[#This Row],[Alias]:[Alias]],Table2[[Alias]:[Alias]],0))*INDEX($V$5:$AK$5,1,MATCH(Table24[[#This Row],[Alias]:[Alias]],$V$4:$AK$4,0)),0)</f>
        <v>330354.16768352216</v>
      </c>
      <c r="E19" s="47">
        <f>IFERROR(INDEX(Table2[GR],MATCH(Table24[[#This Row],[Alias]:[Alias]],Table2[[Alias]:[Alias]],0))*INDEX($V$5:$AK$5,1,MATCH(Table24[[#This Row],[Alias]:[Alias]],$V$4:$AK$4,0)),0)</f>
        <v>206848.44466998242</v>
      </c>
      <c r="F19" s="47">
        <f>IFERROR(INDEX(Table2[TANF],MATCH(Table24[[#This Row],[Alias]:[Alias]],Table2[[Alias]:[Alias]],0))*INDEX($V$5:$AK$5,1,MATCH(Table24[[#This Row],[Alias]:[Alias]],$V$4:$AK$4,0)),0)</f>
        <v>18874.28835102672</v>
      </c>
      <c r="G19" s="47">
        <f>IFERROR(INDEX(Table2[Grand Total],MATCH(Table24[[#This Row],[Alias]:[Alias]],Table2[[Alias]:[Alias]],0))*INDEX($V$5:$AK$5,1,MATCH(Table24[[#This Row],[Alias]:[Alias]],$V$4:$AK$4,0)),0)</f>
        <v>556076.90070453135</v>
      </c>
      <c r="H19" s="47" t="str">
        <f>IF(Table24[[#This Row],[PAC]]="26300","IV-E","Non IV-E")</f>
        <v>IV-E</v>
      </c>
      <c r="I19" s="47" t="str">
        <f>_xlfn.CONCAT(Table24[[#This Row],[Catchment Area]],Table24[[#This Row],[Level of Care]],Table24[[#This Row],[IV-E]])</f>
        <v>1BlendedIV-E</v>
      </c>
    </row>
    <row r="20" spans="1:19">
      <c r="A20" s="18" t="s">
        <v>16</v>
      </c>
      <c r="B20" s="18" t="s">
        <v>17</v>
      </c>
      <c r="C20" s="18" t="s">
        <v>30</v>
      </c>
      <c r="D20" s="47">
        <f>IFERROR(INDEX(Table2[Entitlements],MATCH(Table24[[#This Row],[Alias]:[Alias]],Table2[[Alias]:[Alias]],0))*INDEX($V$5:$AK$5,1,MATCH(Table24[[#This Row],[Alias]:[Alias]],$V$4:$AK$4,0)),0)</f>
        <v>0</v>
      </c>
      <c r="E20" s="47">
        <f>IFERROR(INDEX(Table2[GR],MATCH(Table24[[#This Row],[Alias]:[Alias]],Table2[[Alias]:[Alias]],0))*INDEX($V$5:$AK$5,1,MATCH(Table24[[#This Row],[Alias]:[Alias]],$V$4:$AK$4,0)),0)</f>
        <v>492431.31400468462</v>
      </c>
      <c r="F20" s="47">
        <f>IFERROR(INDEX(Table2[TANF],MATCH(Table24[[#This Row],[Alias]:[Alias]],Table2[[Alias]:[Alias]],0))*INDEX($V$5:$AK$5,1,MATCH(Table24[[#This Row],[Alias]:[Alias]],$V$4:$AK$4,0)),0)</f>
        <v>720284.42084856261</v>
      </c>
      <c r="G20" s="47">
        <f>IFERROR(INDEX(Table2[Grand Total],MATCH(Table24[[#This Row],[Alias]:[Alias]],Table2[[Alias]:[Alias]],0))*INDEX($V$5:$AK$5,1,MATCH(Table24[[#This Row],[Alias]:[Alias]],$V$4:$AK$4,0)),0)</f>
        <v>1212715.7348532472</v>
      </c>
      <c r="H20" s="47" t="str">
        <f>IF(Table24[[#This Row],[PAC]]="26300","IV-E","Non IV-E")</f>
        <v>Non IV-E</v>
      </c>
      <c r="I20" s="47" t="str">
        <f>_xlfn.CONCAT(Table24[[#This Row],[Catchment Area]],Table24[[#This Row],[Level of Care]],Table24[[#This Row],[IV-E]])</f>
        <v>1BlendedNon IV-E</v>
      </c>
      <c r="L20" s="39"/>
      <c r="M20" s="39"/>
      <c r="N20" s="39"/>
      <c r="O20" s="39"/>
      <c r="P20" s="39"/>
      <c r="Q20" s="39"/>
      <c r="R20" s="39"/>
      <c r="S20" s="39"/>
    </row>
    <row r="21" spans="1:19">
      <c r="A21" s="18" t="s">
        <v>16</v>
      </c>
      <c r="B21" s="18" t="s">
        <v>18</v>
      </c>
      <c r="C21" s="18" t="s">
        <v>29</v>
      </c>
      <c r="D21" s="47">
        <f>IFERROR(INDEX(Table2[Entitlements],MATCH(Table24[[#This Row],[Alias]:[Alias]],Table2[[Alias]:[Alias]],0))*INDEX($V$5:$AK$5,1,MATCH(Table24[[#This Row],[Alias]:[Alias]],$V$4:$AK$4,0)),0)</f>
        <v>355043.23582089553</v>
      </c>
      <c r="E21" s="47">
        <f>IFERROR(INDEX(Table2[GR],MATCH(Table24[[#This Row],[Alias]:[Alias]],Table2[[Alias]:[Alias]],0))*INDEX($V$5:$AK$5,1,MATCH(Table24[[#This Row],[Alias]:[Alias]],$V$4:$AK$4,0)),0)</f>
        <v>200412.42889806285</v>
      </c>
      <c r="F21" s="47">
        <f>IFERROR(INDEX(Table2[TANF],MATCH(Table24[[#This Row],[Alias]:[Alias]],Table2[[Alias]:[Alias]],0))*INDEX($V$5:$AK$5,1,MATCH(Table24[[#This Row],[Alias]:[Alias]],$V$4:$AK$4,0)),0)</f>
        <v>73117.46300412828</v>
      </c>
      <c r="G21" s="47">
        <f>IFERROR(INDEX(Table2[Grand Total],MATCH(Table24[[#This Row],[Alias]:[Alias]],Table2[[Alias]:[Alias]],0))*INDEX($V$5:$AK$5,1,MATCH(Table24[[#This Row],[Alias]:[Alias]],$V$4:$AK$4,0)),0)</f>
        <v>628573.12772308663</v>
      </c>
      <c r="H21" s="47" t="str">
        <f>IF(Table24[[#This Row],[PAC]]="26300","IV-E","Non IV-E")</f>
        <v>IV-E</v>
      </c>
      <c r="I21" s="47" t="str">
        <f>_xlfn.CONCAT(Table24[[#This Row],[Catchment Area]],Table24[[#This Row],[Level of Care]],Table24[[#This Row],[IV-E]])</f>
        <v>1ExceptionalIV-E</v>
      </c>
    </row>
    <row r="22" spans="1:19">
      <c r="A22" s="18" t="s">
        <v>16</v>
      </c>
      <c r="B22" s="18" t="s">
        <v>18</v>
      </c>
      <c r="C22" s="18" t="s">
        <v>30</v>
      </c>
      <c r="D22" s="47">
        <f>IFERROR(INDEX(Table2[Entitlements],MATCH(Table24[[#This Row],[Alias]:[Alias]],Table2[[Alias]:[Alias]],0))*INDEX($V$5:$AK$5,1,MATCH(Table24[[#This Row],[Alias]:[Alias]],$V$4:$AK$4,0)),0)</f>
        <v>0</v>
      </c>
      <c r="E22" s="47">
        <f>IFERROR(INDEX(Table2[GR],MATCH(Table24[[#This Row],[Alias]:[Alias]],Table2[[Alias]:[Alias]],0))*INDEX($V$5:$AK$5,1,MATCH(Table24[[#This Row],[Alias]:[Alias]],$V$4:$AK$4,0)),0)</f>
        <v>1381211.4104374947</v>
      </c>
      <c r="F22" s="47">
        <f>IFERROR(INDEX(Table2[TANF],MATCH(Table24[[#This Row],[Alias]:[Alias]],Table2[[Alias]:[Alias]],0))*INDEX($V$5:$AK$5,1,MATCH(Table24[[#This Row],[Alias]:[Alias]],$V$4:$AK$4,0)),0)</f>
        <v>739068.98241073627</v>
      </c>
      <c r="G22" s="47">
        <f>IFERROR(INDEX(Table2[Grand Total],MATCH(Table24[[#This Row],[Alias]:[Alias]],Table2[[Alias]:[Alias]],0))*INDEX($V$5:$AK$5,1,MATCH(Table24[[#This Row],[Alias]:[Alias]],$V$4:$AK$4,0)),0)</f>
        <v>2120280.3928482309</v>
      </c>
      <c r="H22" s="47" t="str">
        <f>IF(Table24[[#This Row],[PAC]]="26300","IV-E","Non IV-E")</f>
        <v>Non IV-E</v>
      </c>
      <c r="I22" s="47" t="str">
        <f>_xlfn.CONCAT(Table24[[#This Row],[Catchment Area]],Table24[[#This Row],[Level of Care]],Table24[[#This Row],[IV-E]])</f>
        <v>1ExceptionalNon IV-E</v>
      </c>
    </row>
    <row r="23" spans="1:19">
      <c r="A23" s="18" t="s">
        <v>19</v>
      </c>
      <c r="B23" s="18" t="s">
        <v>17</v>
      </c>
      <c r="C23" s="18" t="s">
        <v>29</v>
      </c>
      <c r="D23" s="47">
        <f>IFERROR(INDEX(Table2[Entitlements],MATCH(Table24[[#This Row],[Alias]:[Alias]],Table2[[Alias]:[Alias]],0))*INDEX($V$5:$AK$5,1,MATCH(Table24[[#This Row],[Alias]:[Alias]],$V$4:$AK$4,0)),0)</f>
        <v>155645.51726665639</v>
      </c>
      <c r="E23" s="47">
        <f>IFERROR(INDEX(Table2[GR],MATCH(Table24[[#This Row],[Alias]:[Alias]],Table2[[Alias]:[Alias]],0))*INDEX($V$5:$AK$5,1,MATCH(Table24[[#This Row],[Alias]:[Alias]],$V$4:$AK$4,0)),0)</f>
        <v>96121.140654650459</v>
      </c>
      <c r="F23" s="47">
        <f>IFERROR(INDEX(Table2[TANF],MATCH(Table24[[#This Row],[Alias]:[Alias]],Table2[[Alias]:[Alias]],0))*INDEX($V$5:$AK$5,1,MATCH(Table24[[#This Row],[Alias]:[Alias]],$V$4:$AK$4,0)),0)</f>
        <v>10227.552591756819</v>
      </c>
      <c r="G23" s="47">
        <f>IFERROR(INDEX(Table2[Grand Total],MATCH(Table24[[#This Row],[Alias]:[Alias]],Table2[[Alias]:[Alias]],0))*INDEX($V$5:$AK$5,1,MATCH(Table24[[#This Row],[Alias]:[Alias]],$V$4:$AK$4,0)),0)</f>
        <v>261994.21051306365</v>
      </c>
      <c r="H23" s="47" t="str">
        <f>IF(Table24[[#This Row],[PAC]]="26300","IV-E","Non IV-E")</f>
        <v>IV-E</v>
      </c>
      <c r="I23" s="47" t="str">
        <f>_xlfn.CONCAT(Table24[[#This Row],[Catchment Area]],Table24[[#This Row],[Level of Care]],Table24[[#This Row],[IV-E]])</f>
        <v>2BlendedIV-E</v>
      </c>
    </row>
    <row r="24" spans="1:19">
      <c r="A24" s="18" t="s">
        <v>19</v>
      </c>
      <c r="B24" s="18" t="s">
        <v>17</v>
      </c>
      <c r="C24" s="18" t="s">
        <v>30</v>
      </c>
      <c r="D24" s="47">
        <f>IFERROR(INDEX(Table2[Entitlements],MATCH(Table24[[#This Row],[Alias]:[Alias]],Table2[[Alias]:[Alias]],0))*INDEX($V$5:$AK$5,1,MATCH(Table24[[#This Row],[Alias]:[Alias]],$V$4:$AK$4,0)),0)</f>
        <v>0</v>
      </c>
      <c r="E24" s="47">
        <f>IFERROR(INDEX(Table2[GR],MATCH(Table24[[#This Row],[Alias]:[Alias]],Table2[[Alias]:[Alias]],0))*INDEX($V$5:$AK$5,1,MATCH(Table24[[#This Row],[Alias]:[Alias]],$V$4:$AK$4,0)),0)</f>
        <v>205764.17082520592</v>
      </c>
      <c r="F24" s="47">
        <f>IFERROR(INDEX(Table2[TANF],MATCH(Table24[[#This Row],[Alias]:[Alias]],Table2[[Alias]:[Alias]],0))*INDEX($V$5:$AK$5,1,MATCH(Table24[[#This Row],[Alias]:[Alias]],$V$4:$AK$4,0)),0)</f>
        <v>468037.78022574808</v>
      </c>
      <c r="G24" s="47">
        <f>IFERROR(INDEX(Table2[Grand Total],MATCH(Table24[[#This Row],[Alias]:[Alias]],Table2[[Alias]:[Alias]],0))*INDEX($V$5:$AK$5,1,MATCH(Table24[[#This Row],[Alias]:[Alias]],$V$4:$AK$4,0)),0)</f>
        <v>673801.95105095406</v>
      </c>
      <c r="H24" s="47" t="str">
        <f>IF(Table24[[#This Row],[PAC]]="26300","IV-E","Non IV-E")</f>
        <v>Non IV-E</v>
      </c>
      <c r="I24" s="47" t="str">
        <f>_xlfn.CONCAT(Table24[[#This Row],[Catchment Area]],Table24[[#This Row],[Level of Care]],Table24[[#This Row],[IV-E]])</f>
        <v>2BlendedNon IV-E</v>
      </c>
    </row>
    <row r="25" spans="1:19">
      <c r="A25" s="18" t="s">
        <v>19</v>
      </c>
      <c r="B25" s="18" t="s">
        <v>18</v>
      </c>
      <c r="C25" s="18" t="s">
        <v>29</v>
      </c>
      <c r="D25" s="47">
        <f>IFERROR(INDEX(Table2[Entitlements],MATCH(Table24[[#This Row],[Alias]:[Alias]],Table2[[Alias]:[Alias]],0))*INDEX($V$5:$AK$5,1,MATCH(Table24[[#This Row],[Alias]:[Alias]],$V$4:$AK$4,0)),0)</f>
        <v>109823.46054574721</v>
      </c>
      <c r="E25" s="47">
        <f>IFERROR(INDEX(Table2[GR],MATCH(Table24[[#This Row],[Alias]:[Alias]],Table2[[Alias]:[Alias]],0))*INDEX($V$5:$AK$5,1,MATCH(Table24[[#This Row],[Alias]:[Alias]],$V$4:$AK$4,0)),0)</f>
        <v>59330.16847276406</v>
      </c>
      <c r="F25" s="47">
        <f>IFERROR(INDEX(Table2[TANF],MATCH(Table24[[#This Row],[Alias]:[Alias]],Table2[[Alias]:[Alias]],0))*INDEX($V$5:$AK$5,1,MATCH(Table24[[#This Row],[Alias]:[Alias]],$V$4:$AK$4,0)),0)</f>
        <v>25279.199738432588</v>
      </c>
      <c r="G25" s="47">
        <f>IFERROR(INDEX(Table2[Grand Total],MATCH(Table24[[#This Row],[Alias]:[Alias]],Table2[[Alias]:[Alias]],0))*INDEX($V$5:$AK$5,1,MATCH(Table24[[#This Row],[Alias]:[Alias]],$V$4:$AK$4,0)),0)</f>
        <v>194432.82875694387</v>
      </c>
      <c r="H25" s="47" t="str">
        <f>IF(Table24[[#This Row],[PAC]]="26300","IV-E","Non IV-E")</f>
        <v>IV-E</v>
      </c>
      <c r="I25" s="47" t="str">
        <f>_xlfn.CONCAT(Table24[[#This Row],[Catchment Area]],Table24[[#This Row],[Level of Care]],Table24[[#This Row],[IV-E]])</f>
        <v>2ExceptionalIV-E</v>
      </c>
    </row>
    <row r="26" spans="1:19">
      <c r="A26" s="18" t="s">
        <v>19</v>
      </c>
      <c r="B26" s="18" t="s">
        <v>18</v>
      </c>
      <c r="C26" s="18" t="s">
        <v>30</v>
      </c>
      <c r="D26" s="47">
        <f>IFERROR(INDEX(Table2[Entitlements],MATCH(Table24[[#This Row],[Alias]:[Alias]],Table2[[Alias]:[Alias]],0))*INDEX($V$5:$AK$5,1,MATCH(Table24[[#This Row],[Alias]:[Alias]],$V$4:$AK$4,0)),0)</f>
        <v>0</v>
      </c>
      <c r="E26" s="47">
        <f>IFERROR(INDEX(Table2[GR],MATCH(Table24[[#This Row],[Alias]:[Alias]],Table2[[Alias]:[Alias]],0))*INDEX($V$5:$AK$5,1,MATCH(Table24[[#This Row],[Alias]:[Alias]],$V$4:$AK$4,0)),0)</f>
        <v>293055.11603080074</v>
      </c>
      <c r="F26" s="47">
        <f>IFERROR(INDEX(Table2[TANF],MATCH(Table24[[#This Row],[Alias]:[Alias]],Table2[[Alias]:[Alias]],0))*INDEX($V$5:$AK$5,1,MATCH(Table24[[#This Row],[Alias]:[Alias]],$V$4:$AK$4,0)),0)</f>
        <v>691416.57211300882</v>
      </c>
      <c r="G26" s="47">
        <f>IFERROR(INDEX(Table2[Grand Total],MATCH(Table24[[#This Row],[Alias]:[Alias]],Table2[[Alias]:[Alias]],0))*INDEX($V$5:$AK$5,1,MATCH(Table24[[#This Row],[Alias]:[Alias]],$V$4:$AK$4,0)),0)</f>
        <v>984471.68814380956</v>
      </c>
      <c r="H26" s="47" t="str">
        <f>IF(Table24[[#This Row],[PAC]]="26300","IV-E","Non IV-E")</f>
        <v>Non IV-E</v>
      </c>
      <c r="I26" s="47" t="str">
        <f>_xlfn.CONCAT(Table24[[#This Row],[Catchment Area]],Table24[[#This Row],[Level of Care]],Table24[[#This Row],[IV-E]])</f>
        <v>2ExceptionalNon IV-E</v>
      </c>
    </row>
    <row r="27" spans="1:19">
      <c r="A27" s="18" t="s">
        <v>20</v>
      </c>
      <c r="B27" s="18" t="s">
        <v>17</v>
      </c>
      <c r="C27" s="18" t="s">
        <v>29</v>
      </c>
      <c r="D27" s="47">
        <f>IFERROR(INDEX(Table2[Entitlements],MATCH(Table24[[#This Row],[Alias]:[Alias]],Table2[[Alias]:[Alias]],0))*INDEX($V$5:$AK$5,1,MATCH(Table24[[#This Row],[Alias]:[Alias]],$V$4:$AK$4,0)),0)</f>
        <v>270054.03788566258</v>
      </c>
      <c r="E27" s="47">
        <f>IFERROR(INDEX(Table2[GR],MATCH(Table24[[#This Row],[Alias]:[Alias]],Table2[[Alias]:[Alias]],0))*INDEX($V$5:$AK$5,1,MATCH(Table24[[#This Row],[Alias]:[Alias]],$V$4:$AK$4,0)),0)</f>
        <v>167103.92401413317</v>
      </c>
      <c r="F27" s="47">
        <f>IFERROR(INDEX(Table2[TANF],MATCH(Table24[[#This Row],[Alias]:[Alias]],Table2[[Alias]:[Alias]],0))*INDEX($V$5:$AK$5,1,MATCH(Table24[[#This Row],[Alias]:[Alias]],$V$4:$AK$4,0)),0)</f>
        <v>17417.24065455555</v>
      </c>
      <c r="G27" s="47">
        <f>IFERROR(INDEX(Table2[Grand Total],MATCH(Table24[[#This Row],[Alias]:[Alias]],Table2[[Alias]:[Alias]],0))*INDEX($V$5:$AK$5,1,MATCH(Table24[[#This Row],[Alias]:[Alias]],$V$4:$AK$4,0)),0)</f>
        <v>454575.20255435136</v>
      </c>
      <c r="H27" s="47" t="str">
        <f>IF(Table24[[#This Row],[PAC]]="26300","IV-E","Non IV-E")</f>
        <v>IV-E</v>
      </c>
      <c r="I27" s="47" t="str">
        <f>_xlfn.CONCAT(Table24[[#This Row],[Catchment Area]],Table24[[#This Row],[Level of Care]],Table24[[#This Row],[IV-E]])</f>
        <v>3BBlendedIV-E</v>
      </c>
    </row>
    <row r="28" spans="1:19">
      <c r="A28" s="18" t="s">
        <v>20</v>
      </c>
      <c r="B28" s="18" t="s">
        <v>17</v>
      </c>
      <c r="C28" s="18" t="s">
        <v>30</v>
      </c>
      <c r="D28" s="47">
        <f>IFERROR(INDEX(Table2[Entitlements],MATCH(Table24[[#This Row],[Alias]:[Alias]],Table2[[Alias]:[Alias]],0))*INDEX($V$5:$AK$5,1,MATCH(Table24[[#This Row],[Alias]:[Alias]],$V$4:$AK$4,0)),0)</f>
        <v>0</v>
      </c>
      <c r="E28" s="47">
        <f>IFERROR(INDEX(Table2[GR],MATCH(Table24[[#This Row],[Alias]:[Alias]],Table2[[Alias]:[Alias]],0))*INDEX($V$5:$AK$5,1,MATCH(Table24[[#This Row],[Alias]:[Alias]],$V$4:$AK$4,0)),0)</f>
        <v>555121.52167809161</v>
      </c>
      <c r="F28" s="47">
        <f>IFERROR(INDEX(Table2[TANF],MATCH(Table24[[#This Row],[Alias]:[Alias]],Table2[[Alias]:[Alias]],0))*INDEX($V$5:$AK$5,1,MATCH(Table24[[#This Row],[Alias]:[Alias]],$V$4:$AK$4,0)),0)</f>
        <v>759671.97857065976</v>
      </c>
      <c r="G28" s="47">
        <f>IFERROR(INDEX(Table2[Grand Total],MATCH(Table24[[#This Row],[Alias]:[Alias]],Table2[[Alias]:[Alias]],0))*INDEX($V$5:$AK$5,1,MATCH(Table24[[#This Row],[Alias]:[Alias]],$V$4:$AK$4,0)),0)</f>
        <v>1314793.5002487514</v>
      </c>
      <c r="H28" s="47" t="str">
        <f>IF(Table24[[#This Row],[PAC]]="26300","IV-E","Non IV-E")</f>
        <v>Non IV-E</v>
      </c>
      <c r="I28" s="47" t="str">
        <f>_xlfn.CONCAT(Table24[[#This Row],[Catchment Area]],Table24[[#This Row],[Level of Care]],Table24[[#This Row],[IV-E]])</f>
        <v>3BBlendedNon IV-E</v>
      </c>
    </row>
    <row r="29" spans="1:19">
      <c r="A29" s="18" t="s">
        <v>20</v>
      </c>
      <c r="B29" s="18" t="s">
        <v>18</v>
      </c>
      <c r="C29" s="18" t="s">
        <v>29</v>
      </c>
      <c r="D29" s="47">
        <f>IFERROR(INDEX(Table2[Entitlements],MATCH(Table24[[#This Row],[Alias]:[Alias]],Table2[[Alias]:[Alias]],0))*INDEX($V$5:$AK$5,1,MATCH(Table24[[#This Row],[Alias]:[Alias]],$V$4:$AK$4,0)),0)</f>
        <v>542096.00796987093</v>
      </c>
      <c r="E29" s="47">
        <f>IFERROR(INDEX(Table2[GR],MATCH(Table24[[#This Row],[Alias]:[Alias]],Table2[[Alias]:[Alias]],0))*INDEX($V$5:$AK$5,1,MATCH(Table24[[#This Row],[Alias]:[Alias]],$V$4:$AK$4,0)),0)</f>
        <v>312748.45302309678</v>
      </c>
      <c r="F29" s="47">
        <f>IFERROR(INDEX(Table2[TANF],MATCH(Table24[[#This Row],[Alias]:[Alias]],Table2[[Alias]:[Alias]],0))*INDEX($V$5:$AK$5,1,MATCH(Table24[[#This Row],[Alias]:[Alias]],$V$4:$AK$4,0)),0)</f>
        <v>104889.30132445162</v>
      </c>
      <c r="G29" s="47">
        <f>IFERROR(INDEX(Table2[Grand Total],MATCH(Table24[[#This Row],[Alias]:[Alias]],Table2[[Alias]:[Alias]],0))*INDEX($V$5:$AK$5,1,MATCH(Table24[[#This Row],[Alias]:[Alias]],$V$4:$AK$4,0)),0)</f>
        <v>959733.7623174194</v>
      </c>
      <c r="H29" s="47" t="str">
        <f>IF(Table24[[#This Row],[PAC]]="26300","IV-E","Non IV-E")</f>
        <v>IV-E</v>
      </c>
      <c r="I29" s="47" t="str">
        <f>_xlfn.CONCAT(Table24[[#This Row],[Catchment Area]],Table24[[#This Row],[Level of Care]],Table24[[#This Row],[IV-E]])</f>
        <v>3BExceptionalIV-E</v>
      </c>
    </row>
    <row r="30" spans="1:19">
      <c r="A30" s="18" t="s">
        <v>20</v>
      </c>
      <c r="B30" s="18" t="s">
        <v>18</v>
      </c>
      <c r="C30" s="18" t="s">
        <v>30</v>
      </c>
      <c r="D30" s="47">
        <f>IFERROR(INDEX(Table2[Entitlements],MATCH(Table24[[#This Row],[Alias]:[Alias]],Table2[[Alias]:[Alias]],0))*INDEX($V$5:$AK$5,1,MATCH(Table24[[#This Row],[Alias]:[Alias]],$V$4:$AK$4,0)),0)</f>
        <v>0</v>
      </c>
      <c r="E30" s="47">
        <f>IFERROR(INDEX(Table2[GR],MATCH(Table24[[#This Row],[Alias]:[Alias]],Table2[[Alias]:[Alias]],0))*INDEX($V$5:$AK$5,1,MATCH(Table24[[#This Row],[Alias]:[Alias]],$V$4:$AK$4,0)),0)</f>
        <v>2629274.1047717985</v>
      </c>
      <c r="F30" s="47">
        <f>IFERROR(INDEX(Table2[TANF],MATCH(Table24[[#This Row],[Alias]:[Alias]],Table2[[Alias]:[Alias]],0))*INDEX($V$5:$AK$5,1,MATCH(Table24[[#This Row],[Alias]:[Alias]],$V$4:$AK$4,0)),0)</f>
        <v>1978815.6761284398</v>
      </c>
      <c r="G30" s="47">
        <f>IFERROR(INDEX(Table2[Grand Total],MATCH(Table24[[#This Row],[Alias]:[Alias]],Table2[[Alias]:[Alias]],0))*INDEX($V$5:$AK$5,1,MATCH(Table24[[#This Row],[Alias]:[Alias]],$V$4:$AK$4,0)),0)</f>
        <v>4608089.780900239</v>
      </c>
      <c r="H30" s="47" t="str">
        <f>IF(Table24[[#This Row],[PAC]]="26300","IV-E","Non IV-E")</f>
        <v>Non IV-E</v>
      </c>
      <c r="I30" s="47" t="str">
        <f>_xlfn.CONCAT(Table24[[#This Row],[Catchment Area]],Table24[[#This Row],[Level of Care]],Table24[[#This Row],[IV-E]])</f>
        <v>3BExceptionalNon IV-E</v>
      </c>
    </row>
    <row r="31" spans="1:19">
      <c r="A31" s="18" t="s">
        <v>42</v>
      </c>
      <c r="B31" s="18" t="s">
        <v>17</v>
      </c>
      <c r="C31" s="18" t="s">
        <v>29</v>
      </c>
      <c r="D31" s="47">
        <f>IFERROR(INDEX(Table2[Entitlements],MATCH(Table24[[#This Row],[Alias]:[Alias]],Table2[[Alias]:[Alias]],0))*INDEX($V$5:$AK$5,1,MATCH(Table24[[#This Row],[Alias]:[Alias]],$V$4:$AK$4,0)),0)</f>
        <v>15394.671335938086</v>
      </c>
      <c r="E31" s="47">
        <f>IFERROR(INDEX(Table2[GR],MATCH(Table24[[#This Row],[Alias]:[Alias]],Table2[[Alias]:[Alias]],0))*INDEX($V$5:$AK$5,1,MATCH(Table24[[#This Row],[Alias]:[Alias]],$V$4:$AK$4,0)),0)</f>
        <v>9499.0252867303352</v>
      </c>
      <c r="F31" s="47">
        <f>IFERROR(INDEX(Table2[TANF],MATCH(Table24[[#This Row],[Alias]:[Alias]],Table2[[Alias]:[Alias]],0))*INDEX($V$5:$AK$5,1,MATCH(Table24[[#This Row],[Alias]:[Alias]],$V$4:$AK$4,0)),0)</f>
        <v>1019.7711371570349</v>
      </c>
      <c r="G31" s="47">
        <f>IFERROR(INDEX(Table2[Grand Total],MATCH(Table24[[#This Row],[Alias]:[Alias]],Table2[[Alias]:[Alias]],0))*INDEX($V$5:$AK$5,1,MATCH(Table24[[#This Row],[Alias]:[Alias]],$V$4:$AK$4,0)),0)</f>
        <v>25913.467759825457</v>
      </c>
      <c r="H31" s="47" t="str">
        <f>IF(Table24[[#This Row],[PAC]]="26300","IV-E","Non IV-E")</f>
        <v>IV-E</v>
      </c>
      <c r="I31" s="47" t="str">
        <f>_xlfn.CONCAT(Table24[[#This Row],[Catchment Area]],Table24[[#This Row],[Level of Care]],Table24[[#This Row],[IV-E]])</f>
        <v>8BBlendedIV-E</v>
      </c>
    </row>
    <row r="32" spans="1:19">
      <c r="A32" s="18" t="s">
        <v>42</v>
      </c>
      <c r="B32" s="18" t="s">
        <v>17</v>
      </c>
      <c r="C32" s="18" t="s">
        <v>30</v>
      </c>
      <c r="D32" s="47">
        <f>IFERROR(INDEX(Table2[Entitlements],MATCH(Table24[[#This Row],[Alias]:[Alias]],Table2[[Alias]:[Alias]],0))*INDEX($V$5:$AK$5,1,MATCH(Table24[[#This Row],[Alias]:[Alias]],$V$4:$AK$4,0)),0)</f>
        <v>0</v>
      </c>
      <c r="E32" s="47">
        <f>IFERROR(INDEX(Table2[GR],MATCH(Table24[[#This Row],[Alias]:[Alias]],Table2[[Alias]:[Alias]],0))*INDEX($V$5:$AK$5,1,MATCH(Table24[[#This Row],[Alias]:[Alias]],$V$4:$AK$4,0)),0)</f>
        <v>56601.881097331898</v>
      </c>
      <c r="F32" s="47">
        <f>IFERROR(INDEX(Table2[TANF],MATCH(Table24[[#This Row],[Alias]:[Alias]],Table2[[Alias]:[Alias]],0))*INDEX($V$5:$AK$5,1,MATCH(Table24[[#This Row],[Alias]:[Alias]],$V$4:$AK$4,0)),0)</f>
        <v>82930.459456057535</v>
      </c>
      <c r="G32" s="47">
        <f>IFERROR(INDEX(Table2[Grand Total],MATCH(Table24[[#This Row],[Alias]:[Alias]],Table2[[Alias]:[Alias]],0))*INDEX($V$5:$AK$5,1,MATCH(Table24[[#This Row],[Alias]:[Alias]],$V$4:$AK$4,0)),0)</f>
        <v>139532.34055338945</v>
      </c>
      <c r="H32" s="47" t="str">
        <f>IF(Table24[[#This Row],[PAC]]="26300","IV-E","Non IV-E")</f>
        <v>Non IV-E</v>
      </c>
      <c r="I32" s="47" t="str">
        <f>_xlfn.CONCAT(Table24[[#This Row],[Catchment Area]],Table24[[#This Row],[Level of Care]],Table24[[#This Row],[IV-E]])</f>
        <v>8BBlendedNon IV-E</v>
      </c>
    </row>
    <row r="33" spans="1:9">
      <c r="A33" s="18" t="s">
        <v>42</v>
      </c>
      <c r="B33" s="18" t="s">
        <v>18</v>
      </c>
      <c r="C33" s="18" t="s">
        <v>29</v>
      </c>
      <c r="D33" s="47">
        <f>IFERROR(INDEX(Table2[Entitlements],MATCH(Table24[[#This Row],[Alias]:[Alias]],Table2[[Alias]:[Alias]],0))*INDEX($V$5:$AK$5,1,MATCH(Table24[[#This Row],[Alias]:[Alias]],$V$4:$AK$4,0)),0)</f>
        <v>0</v>
      </c>
      <c r="E33" s="47">
        <f>IFERROR(INDEX(Table2[GR],MATCH(Table24[[#This Row],[Alias]:[Alias]],Table2[[Alias]:[Alias]],0))*INDEX($V$5:$AK$5,1,MATCH(Table24[[#This Row],[Alias]:[Alias]],$V$4:$AK$4,0)),0)</f>
        <v>0</v>
      </c>
      <c r="F33" s="47">
        <f>IFERROR(INDEX(Table2[TANF],MATCH(Table24[[#This Row],[Alias]:[Alias]],Table2[[Alias]:[Alias]],0))*INDEX($V$5:$AK$5,1,MATCH(Table24[[#This Row],[Alias]:[Alias]],$V$4:$AK$4,0)),0)</f>
        <v>0</v>
      </c>
      <c r="G33" s="47">
        <f>IFERROR(INDEX(Table2[Grand Total],MATCH(Table24[[#This Row],[Alias]:[Alias]],Table2[[Alias]:[Alias]],0))*INDEX($V$5:$AK$5,1,MATCH(Table24[[#This Row],[Alias]:[Alias]],$V$4:$AK$4,0)),0)</f>
        <v>0</v>
      </c>
      <c r="H33" s="47" t="str">
        <f>IF(Table24[[#This Row],[PAC]]="26300","IV-E","Non IV-E")</f>
        <v>IV-E</v>
      </c>
      <c r="I33" s="47" t="str">
        <f>_xlfn.CONCAT(Table24[[#This Row],[Catchment Area]],Table24[[#This Row],[Level of Care]],Table24[[#This Row],[IV-E]])</f>
        <v>8BExceptionalIV-E</v>
      </c>
    </row>
    <row r="34" spans="1:9">
      <c r="A34" s="18" t="s">
        <v>42</v>
      </c>
      <c r="B34" s="18" t="s">
        <v>18</v>
      </c>
      <c r="C34" s="18" t="s">
        <v>30</v>
      </c>
      <c r="D34" s="47">
        <f>IFERROR(INDEX(Table2[Entitlements],MATCH(Table24[[#This Row],[Alias]:[Alias]],Table2[[Alias]:[Alias]],0))*INDEX($V$5:$AK$5,1,MATCH(Table24[[#This Row],[Alias]:[Alias]],$V$4:$AK$4,0)),0)</f>
        <v>0</v>
      </c>
      <c r="E34" s="47">
        <f>IFERROR(INDEX(Table2[GR],MATCH(Table24[[#This Row],[Alias]:[Alias]],Table2[[Alias]:[Alias]],0))*INDEX($V$5:$AK$5,1,MATCH(Table24[[#This Row],[Alias]:[Alias]],$V$4:$AK$4,0)),0)</f>
        <v>10329.928224843836</v>
      </c>
      <c r="F34" s="47">
        <f>IFERROR(INDEX(Table2[TANF],MATCH(Table24[[#This Row],[Alias]:[Alias]],Table2[[Alias]:[Alias]],0))*INDEX($V$5:$AK$5,1,MATCH(Table24[[#This Row],[Alias]:[Alias]],$V$4:$AK$4,0)),0)</f>
        <v>0</v>
      </c>
      <c r="G34" s="47">
        <f>IFERROR(INDEX(Table2[Grand Total],MATCH(Table24[[#This Row],[Alias]:[Alias]],Table2[[Alias]:[Alias]],0))*INDEX($V$5:$AK$5,1,MATCH(Table24[[#This Row],[Alias]:[Alias]],$V$4:$AK$4,0)),0)</f>
        <v>10329.928224843836</v>
      </c>
      <c r="H34" s="47" t="str">
        <f>IF(Table24[[#This Row],[PAC]]="26300","IV-E","Non IV-E")</f>
        <v>Non IV-E</v>
      </c>
      <c r="I34" s="47" t="str">
        <f>_xlfn.CONCAT(Table24[[#This Row],[Catchment Area]],Table24[[#This Row],[Level of Care]],Table24[[#This Row],[IV-E]])</f>
        <v>8BExceptionalNon IV-E</v>
      </c>
    </row>
    <row r="36" spans="1:9">
      <c r="C36" s="40"/>
      <c r="D36" s="40" t="s">
        <v>1</v>
      </c>
      <c r="E36" s="40" t="s">
        <v>2</v>
      </c>
      <c r="F36" s="40" t="s">
        <v>4</v>
      </c>
      <c r="G36" s="40" t="s">
        <v>5</v>
      </c>
    </row>
    <row r="37" spans="1:9">
      <c r="C37" s="40" t="s">
        <v>40</v>
      </c>
      <c r="D37" s="16">
        <f>SUM(Table24[Entitlements])</f>
        <v>1778411.098508293</v>
      </c>
      <c r="E37" s="16">
        <f>SUM(Table24[GR])</f>
        <v>6675853.0320896711</v>
      </c>
      <c r="F37" s="16">
        <f>SUM(Table24[TANF])</f>
        <v>5691050.6865547216</v>
      </c>
      <c r="G37" s="16">
        <f>SUM(Table24[Grand Total])</f>
        <v>14145314.817152685</v>
      </c>
    </row>
  </sheetData>
  <mergeCells count="20">
    <mergeCell ref="L16:M16"/>
    <mergeCell ref="N16:O16"/>
    <mergeCell ref="P16:Q16"/>
    <mergeCell ref="R16:S16"/>
    <mergeCell ref="AH2:AI2"/>
    <mergeCell ref="L1:M1"/>
    <mergeCell ref="N1:O1"/>
    <mergeCell ref="P1:Q1"/>
    <mergeCell ref="R1:S1"/>
    <mergeCell ref="AJ2:AK2"/>
    <mergeCell ref="V1:Y1"/>
    <mergeCell ref="Z1:AC1"/>
    <mergeCell ref="AD1:AG1"/>
    <mergeCell ref="AH1:AK1"/>
    <mergeCell ref="V2:W2"/>
    <mergeCell ref="X2:Y2"/>
    <mergeCell ref="Z2:AA2"/>
    <mergeCell ref="AB2:AC2"/>
    <mergeCell ref="AD2:AE2"/>
    <mergeCell ref="AF2:AG2"/>
  </mergeCells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of Contents</vt:lpstr>
      <vt:lpstr>Summary</vt:lpstr>
      <vt:lpstr>Legacy Data</vt:lpstr>
      <vt:lpstr>CBC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Marshall,Andrew J (DFPS)</dc:creator>
  <cp:lastModifiedBy>Michael,Michelle R (DFPS)</cp:lastModifiedBy>
  <dcterms:created xsi:type="dcterms:W3CDTF">2021-10-22T11:03:01Z</dcterms:created>
  <dcterms:modified xsi:type="dcterms:W3CDTF">2022-10-04T16:04:47Z</dcterms:modified>
</cp:coreProperties>
</file>